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1028"/>
  <workbookPr/>
  <mc:AlternateContent xmlns:mc="http://schemas.openxmlformats.org/markup-compatibility/2006">
    <mc:Choice Requires="x15">
      <x15ac:absPath xmlns:x15ac="http://schemas.microsoft.com/office/spreadsheetml/2010/11/ac" url="/Users/claudia/Library/CloudStorage/Dropbox/LAVORI/_____Leanus/Formazione_6 Pillole Ageduati Assetti/Sessione 5/"/>
    </mc:Choice>
  </mc:AlternateContent>
  <xr:revisionPtr revIDLastSave="0" documentId="8_{765416B9-D905-1C41-97B8-C5DBE4872228}" xr6:coauthVersionLast="47" xr6:coauthVersionMax="47" xr10:uidLastSave="{00000000-0000-0000-0000-000000000000}"/>
  <bookViews>
    <workbookView xWindow="0" yWindow="500" windowWidth="23260" windowHeight="12460" xr2:uid="{00000000-000D-0000-FFFF-FFFF00000000}"/>
  </bookViews>
  <sheets>
    <sheet name="Dipendenti" sheetId="1" r:id="rId1"/>
    <sheet name="Fornitori (Data FT fine Mese)" sheetId="2" r:id="rId2"/>
    <sheet name="Fornitori (Data FT inizio Mese)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23" i="3" l="1"/>
  <c r="K13" i="3"/>
  <c r="C10" i="3"/>
  <c r="D13" i="3" s="1"/>
  <c r="K23" i="2"/>
  <c r="K22" i="2"/>
  <c r="J22" i="2"/>
  <c r="C10" i="2"/>
  <c r="C15" i="2" s="1"/>
  <c r="N23" i="1"/>
  <c r="O14" i="1"/>
  <c r="N14" i="1"/>
  <c r="Q22" i="1" s="1"/>
  <c r="O12" i="1"/>
  <c r="P14" i="1" s="1"/>
  <c r="N12" i="1"/>
  <c r="O19" i="1" s="1"/>
  <c r="O23" i="1" s="1"/>
  <c r="M12" i="1"/>
  <c r="M26" i="1" s="1"/>
  <c r="D12" i="1"/>
  <c r="E14" i="1" s="1"/>
  <c r="C12" i="1"/>
  <c r="C16" i="1" s="1"/>
  <c r="C26" i="1" s="1"/>
  <c r="N9" i="1"/>
  <c r="N8" i="1"/>
  <c r="D8" i="1"/>
  <c r="N24" i="1" s="1"/>
  <c r="C31" i="2" l="1"/>
  <c r="C20" i="2"/>
  <c r="C17" i="2"/>
  <c r="D14" i="1"/>
  <c r="E12" i="1"/>
  <c r="O24" i="1"/>
  <c r="D10" i="2"/>
  <c r="E13" i="2"/>
  <c r="C15" i="3"/>
  <c r="C18" i="2"/>
  <c r="C22" i="2"/>
  <c r="C29" i="2" s="1"/>
  <c r="P12" i="1"/>
  <c r="D18" i="1"/>
  <c r="E19" i="1"/>
  <c r="P20" i="1"/>
  <c r="P21" i="1"/>
  <c r="R22" i="1"/>
  <c r="D9" i="1"/>
  <c r="N16" i="1"/>
  <c r="Q21" i="1"/>
  <c r="C18" i="3"/>
  <c r="D10" i="3"/>
  <c r="E20" i="1" l="1"/>
  <c r="D16" i="1"/>
  <c r="C17" i="3"/>
  <c r="C22" i="3" s="1"/>
  <c r="C29" i="3" s="1"/>
  <c r="C20" i="3"/>
  <c r="C31" i="3"/>
  <c r="C27" i="3"/>
  <c r="F20" i="1"/>
  <c r="G21" i="1" s="1"/>
  <c r="E23" i="1"/>
  <c r="D19" i="1"/>
  <c r="C27" i="2"/>
  <c r="Q20" i="1"/>
  <c r="Q12" i="1"/>
  <c r="P19" i="1"/>
  <c r="Q14" i="1"/>
  <c r="R21" i="1"/>
  <c r="J26" i="3"/>
  <c r="E13" i="3"/>
  <c r="E10" i="3"/>
  <c r="D15" i="3"/>
  <c r="N28" i="1"/>
  <c r="N26" i="1"/>
  <c r="O16" i="1"/>
  <c r="N25" i="1"/>
  <c r="H25" i="2"/>
  <c r="F13" i="2"/>
  <c r="E10" i="2"/>
  <c r="I26" i="2"/>
  <c r="D15" i="2"/>
  <c r="D22" i="2"/>
  <c r="D29" i="2" s="1"/>
  <c r="G24" i="2"/>
  <c r="F23" i="2"/>
  <c r="F18" i="2"/>
  <c r="E18" i="1"/>
  <c r="F12" i="1"/>
  <c r="F14" i="1"/>
  <c r="F19" i="1" s="1"/>
  <c r="G20" i="1" l="1"/>
  <c r="H21" i="1" s="1"/>
  <c r="M13" i="2"/>
  <c r="G12" i="1"/>
  <c r="G14" i="1"/>
  <c r="G19" i="1" s="1"/>
  <c r="F18" i="1"/>
  <c r="H24" i="2"/>
  <c r="G23" i="2"/>
  <c r="E22" i="2"/>
  <c r="E29" i="2" s="1"/>
  <c r="I25" i="2"/>
  <c r="G13" i="2"/>
  <c r="F10" i="2"/>
  <c r="D23" i="1"/>
  <c r="D24" i="1"/>
  <c r="D17" i="3"/>
  <c r="D22" i="3" s="1"/>
  <c r="D29" i="3" s="1"/>
  <c r="D20" i="3"/>
  <c r="D31" i="3"/>
  <c r="P23" i="1"/>
  <c r="P24" i="1"/>
  <c r="D28" i="1"/>
  <c r="D25" i="1"/>
  <c r="E16" i="1"/>
  <c r="D26" i="1"/>
  <c r="D31" i="2"/>
  <c r="D27" i="2"/>
  <c r="D20" i="2"/>
  <c r="E15" i="2"/>
  <c r="O28" i="1"/>
  <c r="O26" i="1"/>
  <c r="O25" i="1"/>
  <c r="P16" i="1"/>
  <c r="D18" i="2"/>
  <c r="D17" i="2" s="1"/>
  <c r="J26" i="2"/>
  <c r="G18" i="2"/>
  <c r="F18" i="3"/>
  <c r="F23" i="3" s="1"/>
  <c r="G24" i="3" s="1"/>
  <c r="H25" i="3" s="1"/>
  <c r="E15" i="3"/>
  <c r="F13" i="3"/>
  <c r="F10" i="3"/>
  <c r="Q19" i="1"/>
  <c r="R14" i="1"/>
  <c r="R12" i="1"/>
  <c r="R19" i="1" s="1"/>
  <c r="R20" i="1"/>
  <c r="H22" i="1"/>
  <c r="F21" i="1"/>
  <c r="G22" i="1" s="1"/>
  <c r="E24" i="1"/>
  <c r="G23" i="1" l="1"/>
  <c r="H20" i="1"/>
  <c r="G24" i="1"/>
  <c r="G23" i="3"/>
  <c r="H24" i="3" s="1"/>
  <c r="I25" i="3" s="1"/>
  <c r="F15" i="3"/>
  <c r="G13" i="3"/>
  <c r="G10" i="3"/>
  <c r="E25" i="1"/>
  <c r="F16" i="1"/>
  <c r="E26" i="1"/>
  <c r="E28" i="1"/>
  <c r="E20" i="3"/>
  <c r="E31" i="3"/>
  <c r="E17" i="3"/>
  <c r="E22" i="3" s="1"/>
  <c r="E29" i="3" s="1"/>
  <c r="K26" i="2"/>
  <c r="I26" i="3"/>
  <c r="F24" i="1"/>
  <c r="E31" i="2"/>
  <c r="E27" i="2"/>
  <c r="E20" i="2"/>
  <c r="I24" i="2"/>
  <c r="H23" i="2"/>
  <c r="J25" i="2"/>
  <c r="J29" i="2" s="1"/>
  <c r="F15" i="2"/>
  <c r="G10" i="2"/>
  <c r="F22" i="2"/>
  <c r="F29" i="2" s="1"/>
  <c r="R23" i="1"/>
  <c r="R24" i="1"/>
  <c r="P26" i="1"/>
  <c r="P25" i="1"/>
  <c r="Q16" i="1"/>
  <c r="P28" i="1"/>
  <c r="Q23" i="1"/>
  <c r="Q24" i="1"/>
  <c r="G18" i="3"/>
  <c r="H18" i="2"/>
  <c r="E18" i="2"/>
  <c r="E17" i="2" s="1"/>
  <c r="F23" i="1"/>
  <c r="G15" i="3"/>
  <c r="D27" i="3"/>
  <c r="H14" i="1"/>
  <c r="H19" i="1"/>
  <c r="G18" i="1"/>
  <c r="H12" i="1"/>
  <c r="H18" i="1" s="1"/>
  <c r="F26" i="1" l="1"/>
  <c r="F25" i="1"/>
  <c r="G16" i="1"/>
  <c r="F28" i="1"/>
  <c r="H15" i="3"/>
  <c r="G31" i="3"/>
  <c r="G17" i="3"/>
  <c r="G22" i="3" s="1"/>
  <c r="G29" i="3" s="1"/>
  <c r="G20" i="3"/>
  <c r="E27" i="3"/>
  <c r="I23" i="3"/>
  <c r="H23" i="3"/>
  <c r="I24" i="3" s="1"/>
  <c r="I13" i="3"/>
  <c r="J25" i="3"/>
  <c r="H13" i="3"/>
  <c r="M13" i="3" s="1"/>
  <c r="H10" i="3"/>
  <c r="H18" i="3"/>
  <c r="I18" i="3"/>
  <c r="J18" i="3" s="1"/>
  <c r="K18" i="3" s="1"/>
  <c r="H23" i="1"/>
  <c r="H24" i="1"/>
  <c r="Q26" i="1"/>
  <c r="Q25" i="1"/>
  <c r="R16" i="1"/>
  <c r="Q28" i="1"/>
  <c r="K25" i="2"/>
  <c r="H10" i="2"/>
  <c r="G22" i="2"/>
  <c r="G29" i="2" s="1"/>
  <c r="J24" i="2"/>
  <c r="I23" i="2"/>
  <c r="G15" i="2"/>
  <c r="F20" i="3"/>
  <c r="F31" i="3"/>
  <c r="F17" i="3"/>
  <c r="F22" i="3" s="1"/>
  <c r="F29" i="3" s="1"/>
  <c r="M10" i="2"/>
  <c r="M15" i="2" s="1"/>
  <c r="I18" i="2"/>
  <c r="J18" i="2" s="1"/>
  <c r="K18" i="2" s="1"/>
  <c r="F27" i="2"/>
  <c r="F20" i="2"/>
  <c r="F17" i="2"/>
  <c r="F31" i="2"/>
  <c r="K29" i="2"/>
  <c r="H31" i="3" l="1"/>
  <c r="H17" i="3"/>
  <c r="H22" i="3" s="1"/>
  <c r="H29" i="3" s="1"/>
  <c r="H20" i="3"/>
  <c r="I20" i="3" s="1"/>
  <c r="J20" i="3" s="1"/>
  <c r="K20" i="3" s="1"/>
  <c r="I15" i="3"/>
  <c r="J24" i="3"/>
  <c r="K25" i="3" s="1"/>
  <c r="J13" i="3"/>
  <c r="M10" i="3"/>
  <c r="M15" i="3" s="1"/>
  <c r="G28" i="1"/>
  <c r="H16" i="1"/>
  <c r="G25" i="1"/>
  <c r="G26" i="1"/>
  <c r="G31" i="2"/>
  <c r="G27" i="2"/>
  <c r="G20" i="2"/>
  <c r="G17" i="2"/>
  <c r="R28" i="1"/>
  <c r="R26" i="1"/>
  <c r="R25" i="1"/>
  <c r="H22" i="2"/>
  <c r="H29" i="2" s="1"/>
  <c r="H15" i="2"/>
  <c r="I22" i="2"/>
  <c r="I29" i="2" s="1"/>
  <c r="K24" i="2"/>
  <c r="J23" i="2"/>
  <c r="K26" i="3"/>
  <c r="F27" i="3"/>
  <c r="G27" i="3"/>
  <c r="H25" i="1" l="1"/>
  <c r="H26" i="1"/>
  <c r="H28" i="1"/>
  <c r="I17" i="3"/>
  <c r="I22" i="3" s="1"/>
  <c r="I29" i="3" s="1"/>
  <c r="J15" i="3"/>
  <c r="I31" i="3"/>
  <c r="I27" i="3"/>
  <c r="I15" i="2"/>
  <c r="H31" i="2"/>
  <c r="H27" i="2"/>
  <c r="H20" i="2"/>
  <c r="I20" i="2" s="1"/>
  <c r="J20" i="2" s="1"/>
  <c r="K20" i="2" s="1"/>
  <c r="H17" i="2"/>
  <c r="H27" i="3"/>
  <c r="J17" i="3" l="1"/>
  <c r="J22" i="3" s="1"/>
  <c r="J29" i="3" s="1"/>
  <c r="K15" i="3"/>
  <c r="J31" i="3"/>
  <c r="J27" i="3"/>
  <c r="I31" i="2"/>
  <c r="J15" i="2"/>
  <c r="I27" i="2"/>
  <c r="I17" i="2"/>
  <c r="J31" i="2" l="1"/>
  <c r="J27" i="2"/>
  <c r="J17" i="2"/>
  <c r="K15" i="2"/>
  <c r="K31" i="3"/>
  <c r="K27" i="3"/>
  <c r="K17" i="3"/>
  <c r="K22" i="3" s="1"/>
  <c r="K29" i="3" s="1"/>
  <c r="K31" i="2" l="1"/>
  <c r="K27" i="2"/>
  <c r="K17" i="2"/>
</calcChain>
</file>

<file path=xl/sharedStrings.xml><?xml version="1.0" encoding="utf-8"?>
<sst xmlns="http://schemas.openxmlformats.org/spreadsheetml/2006/main" count="139" uniqueCount="65">
  <si>
    <t>Debiti retributivi scaduti da almeno 30 giorni e pari a oltre la metà dell’ammontare complessivo mensile delle retribuzioni</t>
  </si>
  <si>
    <t>1)</t>
  </si>
  <si>
    <t xml:space="preserve">Ipotizzo Buste paghe pronte entro il 5 del mese successivo alla competenza </t>
  </si>
  <si>
    <t xml:space="preserve">Ipotizzo Buste paghe pronte entro il 5 del mese di competenza </t>
  </si>
  <si>
    <t>Pagamento delle Buste paga il 5 del mese successivo alla competenza</t>
  </si>
  <si>
    <t>Pagamento delle Buste paga il 5 del mese di competenza</t>
  </si>
  <si>
    <t>Rallentamento nei pagamenti delle Retribuzioni dal Mese 4</t>
  </si>
  <si>
    <t>2)</t>
  </si>
  <si>
    <t>Costo Annuo Retribuzioni</t>
  </si>
  <si>
    <t>Retribuzione media mensile</t>
  </si>
  <si>
    <t>Allerta: 50,1% della Retribuzione mensile</t>
  </si>
  <si>
    <t>Mese 3</t>
  </si>
  <si>
    <t>Mese 4</t>
  </si>
  <si>
    <t>Mese 5</t>
  </si>
  <si>
    <t>Mese 6</t>
  </si>
  <si>
    <t>Mese 7</t>
  </si>
  <si>
    <t>Mese 8</t>
  </si>
  <si>
    <t>Rilevazione mensile delle Retribuzioni</t>
  </si>
  <si>
    <t>% pagamento retribuzione mese prec.</t>
  </si>
  <si>
    <t xml:space="preserve">% pagamento retribuzione mese </t>
  </si>
  <si>
    <t>Pagamento retribuzione mese prec.</t>
  </si>
  <si>
    <t xml:space="preserve">Pagamento retribuzione mese </t>
  </si>
  <si>
    <t>Debito per Retribuzioni</t>
  </si>
  <si>
    <t>Debiti vs dipendenti non scaduti da</t>
  </si>
  <si>
    <t>Debiti vs dipendenti scaduti da gg</t>
  </si>
  <si>
    <r>
      <rPr>
        <b/>
        <sz val="11"/>
        <color theme="1"/>
        <rFont val="Calibri"/>
        <family val="2"/>
        <scheme val="minor"/>
      </rPr>
      <t xml:space="preserve">Totale Debiti vs Dipendenti Scaduti oltre 30 </t>
    </r>
    <r>
      <rPr>
        <sz val="11"/>
        <color theme="1"/>
        <rFont val="Calibri"/>
        <family val="2"/>
        <scheme val="minor"/>
      </rPr>
      <t>gg</t>
    </r>
    <r>
      <rPr>
        <b/>
        <sz val="11"/>
        <color theme="1"/>
        <rFont val="Calibri"/>
        <family val="2"/>
        <scheme val="minor"/>
      </rPr>
      <t xml:space="preserve"> </t>
    </r>
  </si>
  <si>
    <t>Superamento Soglia di Allerta CCII</t>
  </si>
  <si>
    <t xml:space="preserve">Differenza Debito Retribuzione periodo (N+1) - (N) </t>
  </si>
  <si>
    <t>Differenza Debito Retribuzione periodo (N+1) - (N)</t>
  </si>
  <si>
    <t>3)</t>
  </si>
  <si>
    <t>Debito per Retribuzioni / Costo Retribuzioni media mensile ( maggiore di 1 = ALLERTA GESTIONALE)</t>
  </si>
  <si>
    <t>Debito per Retribuzioni / Costo Retribuzioni media mensile ( maggiore di 0 = ALLERTA GESTIONALE)</t>
  </si>
  <si>
    <t>check debito</t>
  </si>
  <si>
    <t>Debiti verso fornitori scaduti da almeno 90 giorni di ammontare superiore a quello dei debiti non scaduti.</t>
  </si>
  <si>
    <t>Acquisti giornalieri</t>
  </si>
  <si>
    <t>Data Fattura</t>
  </si>
  <si>
    <t>Fine Mese</t>
  </si>
  <si>
    <t>Dilazione media accordata (gg)</t>
  </si>
  <si>
    <t>Aliquota IVA media</t>
  </si>
  <si>
    <t xml:space="preserve">Rallentamento nei pagamenti dei Fornitori dal </t>
  </si>
  <si>
    <t>PAGAMENTI REGOLARI</t>
  </si>
  <si>
    <t>PAG.TO 50% FORNITORI STRATEGICI</t>
  </si>
  <si>
    <t>BLOCCO INTEGRALE PAGAMENTI</t>
  </si>
  <si>
    <t>BLOCCO FORNITURE</t>
  </si>
  <si>
    <t>CHECK</t>
  </si>
  <si>
    <t>Mese 1</t>
  </si>
  <si>
    <t>Mese 2</t>
  </si>
  <si>
    <t>Mese 9</t>
  </si>
  <si>
    <t>Acquisti</t>
  </si>
  <si>
    <t>% Acquisti pagati</t>
  </si>
  <si>
    <t>Pagamento Fornitori del mese</t>
  </si>
  <si>
    <t>Acquisto che viene pagato (rif. mese)</t>
  </si>
  <si>
    <t>Debito Vs Fornitori (IVA 22% INCL.)</t>
  </si>
  <si>
    <t>OK</t>
  </si>
  <si>
    <t>Fornitori Non Scaduti</t>
  </si>
  <si>
    <t>Fornitori Scaduti</t>
  </si>
  <si>
    <r>
      <rPr>
        <b/>
        <sz val="11"/>
        <color rgb="FF0070C0"/>
        <rFont val="Calibri"/>
        <family val="2"/>
        <scheme val="minor"/>
      </rPr>
      <t xml:space="preserve">Giorni Debiti vs Fornitori da Bilancio (DPO) - </t>
    </r>
    <r>
      <rPr>
        <b/>
        <sz val="11"/>
        <color rgb="FFFF0000"/>
        <rFont val="Calibri"/>
        <family val="2"/>
        <scheme val="minor"/>
      </rPr>
      <t>ALLERTA GESTIONALE DPO &gt; GG ACCORDATI MEDI</t>
    </r>
  </si>
  <si>
    <t>SIGNIFICATIVITA' DEL DPO</t>
  </si>
  <si>
    <t>Fornitori scaduti da gg</t>
  </si>
  <si>
    <t>Check con debito</t>
  </si>
  <si>
    <t>Inizio Mese</t>
  </si>
  <si>
    <r>
      <rPr>
        <b/>
        <sz val="11"/>
        <color rgb="FF0070C0"/>
        <rFont val="Calibri"/>
        <family val="2"/>
        <scheme val="minor"/>
      </rPr>
      <t xml:space="preserve">Giorni Debiti vs Fornitori da Bilancio (DPO) - </t>
    </r>
    <r>
      <rPr>
        <b/>
        <sz val="11"/>
        <color rgb="FFFF0000"/>
        <rFont val="Calibri"/>
        <family val="2"/>
        <scheme val="minor"/>
      </rPr>
      <t>ALLERTA GESTIONALE DPO &lt; GG ACCORDATI MEDI</t>
    </r>
  </si>
  <si>
    <t>TRAPPOLA DEL DPO</t>
  </si>
  <si>
    <t>Debito per Fornitori / Acquisti (maggiore di aliq IVA  = ALLERTA GESTIONALE)</t>
  </si>
  <si>
    <t>SOGLIA DI ALLERTA: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</si>
</sst>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#,##0.00\ &quot;€&quot;"/>
    <numFmt numFmtId="165" formatCode="#,##0\ &quot;€&quot;"/>
  </numFmts>
  <fonts count="16" x14ac:knownFonts="1">
    <font>
      <sz val="11"/>
      <color theme="1"/>
      <name val="Calibri"/>
      <charset val="134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u/>
      <sz val="20"/>
      <color rgb="FF00273F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b/>
      <sz val="11"/>
      <color rgb="FF0070C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8"/>
      <color rgb="FFFF0000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i/>
      <u/>
      <sz val="16"/>
      <color theme="1"/>
      <name val="Calibri"/>
      <family val="2"/>
      <scheme val="minor"/>
    </font>
    <font>
      <b/>
      <i/>
      <u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u/>
      <sz val="16"/>
      <color rgb="FFFF0000"/>
      <name val="Calibri"/>
      <family val="2"/>
      <scheme val="minor"/>
    </font>
    <font>
      <b/>
      <u/>
      <sz val="16"/>
      <color theme="1"/>
      <name val="Calibri"/>
      <family val="2"/>
      <scheme val="minor"/>
    </font>
  </fonts>
  <fills count="12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E84518"/>
        <bgColor indexed="64"/>
      </patternFill>
    </fill>
    <fill>
      <patternFill patternType="solid">
        <fgColor theme="9" tint="0.3999450666829432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7" tint="0.3999450666829432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8" tint="0.59999389629810485"/>
        <bgColor indexed="64"/>
      </patternFill>
    </fill>
  </fills>
  <borders count="38">
    <border>
      <left/>
      <right/>
      <top/>
      <bottom/>
      <diagonal/>
    </border>
    <border>
      <left style="double">
        <color rgb="FF00B0F0"/>
      </left>
      <right/>
      <top style="double">
        <color rgb="FF00B0F0"/>
      </top>
      <bottom/>
      <diagonal/>
    </border>
    <border>
      <left/>
      <right/>
      <top style="double">
        <color rgb="FF00B0F0"/>
      </top>
      <bottom/>
      <diagonal/>
    </border>
    <border>
      <left style="double">
        <color rgb="FF00B0F0"/>
      </left>
      <right/>
      <top/>
      <bottom/>
      <diagonal/>
    </border>
    <border>
      <left style="double">
        <color rgb="FF00B0F0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double">
        <color rgb="FF00B0F0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double">
        <color rgb="FF00B0F0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double">
        <color rgb="FF00B0F0"/>
      </left>
      <right/>
      <top/>
      <bottom style="double">
        <color rgb="FF00B0F0"/>
      </bottom>
      <diagonal/>
    </border>
    <border>
      <left/>
      <right/>
      <top/>
      <bottom style="double">
        <color rgb="FF00B0F0"/>
      </bottom>
      <diagonal/>
    </border>
    <border>
      <left/>
      <right style="double">
        <color rgb="FF00B0F0"/>
      </right>
      <top style="double">
        <color rgb="FF00B0F0"/>
      </top>
      <bottom/>
      <diagonal/>
    </border>
    <border>
      <left/>
      <right style="double">
        <color rgb="FF00B0F0"/>
      </right>
      <top/>
      <bottom/>
      <diagonal/>
    </border>
    <border>
      <left/>
      <right style="double">
        <color rgb="FF00B0F0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double">
        <color rgb="FF00B0F0"/>
      </right>
      <top/>
      <bottom style="thin">
        <color auto="1"/>
      </bottom>
      <diagonal/>
    </border>
    <border>
      <left/>
      <right style="double">
        <color rgb="FF00B0F0"/>
      </right>
      <top style="thin">
        <color auto="1"/>
      </top>
      <bottom/>
      <diagonal/>
    </border>
    <border>
      <left/>
      <right style="double">
        <color rgb="FF00B0F0"/>
      </right>
      <top/>
      <bottom style="double">
        <color rgb="FF00B0F0"/>
      </bottom>
      <diagonal/>
    </border>
    <border>
      <left style="thin">
        <color auto="1"/>
      </left>
      <right style="double">
        <color rgb="FF00B0F0"/>
      </right>
      <top style="thin">
        <color auto="1"/>
      </top>
      <bottom/>
      <diagonal/>
    </border>
    <border>
      <left style="thin">
        <color auto="1"/>
      </left>
      <right style="double">
        <color rgb="FF00B0F0"/>
      </right>
      <top/>
      <bottom/>
      <diagonal/>
    </border>
    <border>
      <left style="thin">
        <color auto="1"/>
      </left>
      <right style="double">
        <color rgb="FF00B0F0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double">
        <color rgb="FF00B0F0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00B0F0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double">
        <color rgb="FF00B0F0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double">
        <color rgb="FF00B0F0"/>
      </bottom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3">
    <xf numFmtId="0" fontId="0" fillId="0" borderId="0"/>
    <xf numFmtId="43" fontId="12" fillId="0" borderId="0" applyFont="0" applyFill="0" applyBorder="0" applyAlignment="0" applyProtection="0"/>
    <xf numFmtId="9" fontId="12" fillId="0" borderId="0" applyFont="0" applyFill="0" applyBorder="0" applyAlignment="0" applyProtection="0"/>
  </cellStyleXfs>
  <cellXfs count="188">
    <xf numFmtId="0" fontId="0" fillId="0" borderId="0" xfId="0"/>
    <xf numFmtId="0" fontId="2" fillId="0" borderId="0" xfId="0" applyFont="1"/>
    <xf numFmtId="0" fontId="0" fillId="0" borderId="0" xfId="0" applyAlignment="1">
      <alignment horizontal="center"/>
    </xf>
    <xf numFmtId="0" fontId="3" fillId="0" borderId="0" xfId="0" applyFont="1"/>
    <xf numFmtId="0" fontId="4" fillId="2" borderId="1" xfId="0" applyFont="1" applyFill="1" applyBorder="1"/>
    <xf numFmtId="0" fontId="4" fillId="2" borderId="2" xfId="0" applyFont="1" applyFill="1" applyBorder="1"/>
    <xf numFmtId="164" fontId="4" fillId="2" borderId="2" xfId="0" applyNumberFormat="1" applyFont="1" applyFill="1" applyBorder="1" applyAlignment="1">
      <alignment horizontal="center"/>
    </xf>
    <xf numFmtId="0" fontId="0" fillId="0" borderId="2" xfId="0" applyBorder="1" applyAlignment="1">
      <alignment horizontal="center"/>
    </xf>
    <xf numFmtId="0" fontId="4" fillId="2" borderId="3" xfId="0" applyFont="1" applyFill="1" applyBorder="1"/>
    <xf numFmtId="0" fontId="4" fillId="2" borderId="0" xfId="0" applyFont="1" applyFill="1"/>
    <xf numFmtId="164" fontId="4" fillId="2" borderId="0" xfId="0" applyNumberFormat="1" applyFont="1" applyFill="1" applyAlignment="1">
      <alignment horizontal="center"/>
    </xf>
    <xf numFmtId="0" fontId="4" fillId="2" borderId="0" xfId="0" applyFont="1" applyFill="1" applyAlignment="1">
      <alignment horizontal="center"/>
    </xf>
    <xf numFmtId="9" fontId="4" fillId="2" borderId="0" xfId="0" applyNumberFormat="1" applyFont="1" applyFill="1" applyAlignment="1">
      <alignment horizontal="center"/>
    </xf>
    <xf numFmtId="0" fontId="4" fillId="0" borderId="3" xfId="0" applyFont="1" applyBorder="1"/>
    <xf numFmtId="0" fontId="4" fillId="0" borderId="0" xfId="0" applyFont="1"/>
    <xf numFmtId="9" fontId="4" fillId="0" borderId="0" xfId="0" applyNumberFormat="1" applyFont="1" applyAlignment="1">
      <alignment horizontal="center"/>
    </xf>
    <xf numFmtId="0" fontId="0" fillId="0" borderId="4" xfId="0" applyBorder="1"/>
    <xf numFmtId="0" fontId="0" fillId="0" borderId="5" xfId="0" applyBorder="1"/>
    <xf numFmtId="0" fontId="0" fillId="5" borderId="8" xfId="0" applyFill="1" applyBorder="1" applyAlignment="1">
      <alignment horizontal="center" wrapText="1"/>
    </xf>
    <xf numFmtId="0" fontId="2" fillId="0" borderId="9" xfId="0" applyFont="1" applyBorder="1"/>
    <xf numFmtId="0" fontId="2" fillId="0" borderId="10" xfId="0" applyFont="1" applyBorder="1"/>
    <xf numFmtId="0" fontId="2" fillId="0" borderId="10" xfId="0" applyFont="1" applyBorder="1" applyAlignment="1">
      <alignment horizontal="center"/>
    </xf>
    <xf numFmtId="0" fontId="0" fillId="3" borderId="6" xfId="0" applyFill="1" applyBorder="1"/>
    <xf numFmtId="0" fontId="0" fillId="3" borderId="7" xfId="0" applyFill="1" applyBorder="1"/>
    <xf numFmtId="165" fontId="0" fillId="3" borderId="6" xfId="0" applyNumberFormat="1" applyFill="1" applyBorder="1" applyAlignment="1">
      <alignment horizontal="center"/>
    </xf>
    <xf numFmtId="165" fontId="0" fillId="3" borderId="7" xfId="0" applyNumberFormat="1" applyFill="1" applyBorder="1" applyAlignment="1">
      <alignment horizontal="center"/>
    </xf>
    <xf numFmtId="0" fontId="0" fillId="0" borderId="3" xfId="0" applyBorder="1"/>
    <xf numFmtId="165" fontId="0" fillId="0" borderId="0" xfId="0" applyNumberFormat="1" applyAlignment="1">
      <alignment horizontal="center"/>
    </xf>
    <xf numFmtId="9" fontId="0" fillId="0" borderId="0" xfId="2" applyFont="1" applyBorder="1" applyAlignment="1">
      <alignment horizontal="center"/>
    </xf>
    <xf numFmtId="0" fontId="0" fillId="0" borderId="3" xfId="0" applyBorder="1" applyAlignment="1">
      <alignment wrapText="1"/>
    </xf>
    <xf numFmtId="0" fontId="0" fillId="0" borderId="3" xfId="0" applyBorder="1" applyAlignment="1">
      <alignment horizontal="right"/>
    </xf>
    <xf numFmtId="0" fontId="0" fillId="3" borderId="6" xfId="0" applyFill="1" applyBorder="1" applyAlignment="1">
      <alignment wrapText="1"/>
    </xf>
    <xf numFmtId="0" fontId="2" fillId="0" borderId="6" xfId="0" applyFont="1" applyBorder="1"/>
    <xf numFmtId="0" fontId="2" fillId="0" borderId="5" xfId="0" applyFont="1" applyBorder="1"/>
    <xf numFmtId="165" fontId="2" fillId="0" borderId="6" xfId="0" applyNumberFormat="1" applyFont="1" applyBorder="1" applyAlignment="1">
      <alignment horizontal="center"/>
    </xf>
    <xf numFmtId="165" fontId="2" fillId="0" borderId="7" xfId="0" applyNumberFormat="1" applyFont="1" applyBorder="1" applyAlignment="1">
      <alignment horizontal="center"/>
    </xf>
    <xf numFmtId="0" fontId="5" fillId="0" borderId="6" xfId="0" applyFont="1" applyBorder="1" applyAlignment="1">
      <alignment wrapText="1"/>
    </xf>
    <xf numFmtId="0" fontId="5" fillId="0" borderId="5" xfId="0" applyFont="1" applyBorder="1"/>
    <xf numFmtId="1" fontId="5" fillId="0" borderId="6" xfId="1" applyNumberFormat="1" applyFont="1" applyBorder="1" applyAlignment="1">
      <alignment horizontal="center"/>
    </xf>
    <xf numFmtId="1" fontId="5" fillId="0" borderId="7" xfId="1" applyNumberFormat="1" applyFont="1" applyBorder="1" applyAlignment="1">
      <alignment horizontal="center"/>
    </xf>
    <xf numFmtId="1" fontId="5" fillId="5" borderId="7" xfId="1" applyNumberFormat="1" applyFont="1" applyFill="1" applyBorder="1" applyAlignment="1">
      <alignment horizontal="center"/>
    </xf>
    <xf numFmtId="1" fontId="5" fillId="6" borderId="7" xfId="1" applyNumberFormat="1" applyFont="1" applyFill="1" applyBorder="1" applyAlignment="1">
      <alignment horizontal="center"/>
    </xf>
    <xf numFmtId="0" fontId="2" fillId="0" borderId="11" xfId="0" applyFont="1" applyBorder="1"/>
    <xf numFmtId="0" fontId="2" fillId="0" borderId="12" xfId="0" applyFont="1" applyBorder="1" applyAlignment="1">
      <alignment horizontal="center"/>
    </xf>
    <xf numFmtId="165" fontId="2" fillId="0" borderId="10" xfId="0" applyNumberFormat="1" applyFont="1" applyBorder="1" applyAlignment="1">
      <alignment horizontal="center"/>
    </xf>
    <xf numFmtId="0" fontId="0" fillId="0" borderId="13" xfId="0" applyBorder="1" applyAlignment="1">
      <alignment horizontal="center"/>
    </xf>
    <xf numFmtId="0" fontId="2" fillId="0" borderId="3" xfId="0" applyFont="1" applyBorder="1"/>
    <xf numFmtId="0" fontId="2" fillId="0" borderId="13" xfId="0" applyFont="1" applyBorder="1" applyAlignment="1">
      <alignment horizontal="center"/>
    </xf>
    <xf numFmtId="165" fontId="2" fillId="0" borderId="0" xfId="0" applyNumberFormat="1" applyFont="1" applyAlignment="1">
      <alignment horizontal="center"/>
    </xf>
    <xf numFmtId="0" fontId="2" fillId="0" borderId="14" xfId="0" applyFont="1" applyBorder="1"/>
    <xf numFmtId="0" fontId="2" fillId="0" borderId="15" xfId="0" applyFont="1" applyBorder="1" applyAlignment="1">
      <alignment horizontal="center"/>
    </xf>
    <xf numFmtId="165" fontId="2" fillId="0" borderId="16" xfId="0" applyNumberFormat="1" applyFont="1" applyBorder="1" applyAlignment="1">
      <alignment horizontal="center"/>
    </xf>
    <xf numFmtId="0" fontId="2" fillId="0" borderId="3" xfId="0" applyFont="1" applyBorder="1" applyAlignment="1">
      <alignment horizontal="right"/>
    </xf>
    <xf numFmtId="0" fontId="6" fillId="0" borderId="17" xfId="0" applyFont="1" applyBorder="1" applyAlignment="1">
      <alignment horizontal="right" wrapText="1"/>
    </xf>
    <xf numFmtId="0" fontId="0" fillId="0" borderId="18" xfId="0" applyBorder="1"/>
    <xf numFmtId="0" fontId="6" fillId="0" borderId="18" xfId="0" applyFont="1" applyBorder="1" applyAlignment="1">
      <alignment horizontal="center"/>
    </xf>
    <xf numFmtId="0" fontId="6" fillId="0" borderId="17" xfId="0" applyFont="1" applyBorder="1" applyAlignment="1">
      <alignment wrapText="1"/>
    </xf>
    <xf numFmtId="9" fontId="0" fillId="0" borderId="0" xfId="2" applyFont="1" applyAlignment="1">
      <alignment horizontal="center"/>
    </xf>
    <xf numFmtId="0" fontId="0" fillId="0" borderId="19" xfId="0" applyBorder="1" applyAlignment="1">
      <alignment horizontal="center"/>
    </xf>
    <xf numFmtId="0" fontId="0" fillId="0" borderId="20" xfId="0" applyBorder="1" applyAlignment="1">
      <alignment horizontal="center"/>
    </xf>
    <xf numFmtId="0" fontId="2" fillId="0" borderId="22" xfId="0" applyFont="1" applyBorder="1" applyAlignment="1">
      <alignment horizontal="center"/>
    </xf>
    <xf numFmtId="0" fontId="2" fillId="0" borderId="0" xfId="0" applyFont="1" applyAlignment="1">
      <alignment horizontal="center"/>
    </xf>
    <xf numFmtId="165" fontId="0" fillId="3" borderId="5" xfId="0" applyNumberFormat="1" applyFill="1" applyBorder="1" applyAlignment="1">
      <alignment horizontal="center"/>
    </xf>
    <xf numFmtId="165" fontId="0" fillId="0" borderId="20" xfId="0" applyNumberFormat="1" applyBorder="1" applyAlignment="1">
      <alignment horizontal="center"/>
    </xf>
    <xf numFmtId="9" fontId="0" fillId="0" borderId="20" xfId="2" applyFont="1" applyBorder="1" applyAlignment="1">
      <alignment horizontal="center"/>
    </xf>
    <xf numFmtId="165" fontId="0" fillId="3" borderId="21" xfId="0" applyNumberFormat="1" applyFill="1" applyBorder="1" applyAlignment="1">
      <alignment horizontal="center"/>
    </xf>
    <xf numFmtId="165" fontId="2" fillId="0" borderId="21" xfId="0" applyNumberFormat="1" applyFont="1" applyBorder="1" applyAlignment="1">
      <alignment horizontal="center"/>
    </xf>
    <xf numFmtId="1" fontId="5" fillId="0" borderId="21" xfId="1" applyNumberFormat="1" applyFont="1" applyBorder="1" applyAlignment="1">
      <alignment horizontal="center"/>
    </xf>
    <xf numFmtId="0" fontId="7" fillId="0" borderId="0" xfId="0" applyFont="1"/>
    <xf numFmtId="0" fontId="0" fillId="0" borderId="23" xfId="0" applyBorder="1" applyAlignment="1">
      <alignment horizontal="center"/>
    </xf>
    <xf numFmtId="165" fontId="2" fillId="0" borderId="24" xfId="0" applyNumberFormat="1" applyFont="1" applyBorder="1" applyAlignment="1">
      <alignment horizontal="center"/>
    </xf>
    <xf numFmtId="165" fontId="2" fillId="0" borderId="20" xfId="0" applyNumberFormat="1" applyFont="1" applyBorder="1" applyAlignment="1">
      <alignment horizontal="center"/>
    </xf>
    <xf numFmtId="165" fontId="2" fillId="0" borderId="23" xfId="0" applyNumberFormat="1" applyFont="1" applyBorder="1" applyAlignment="1">
      <alignment horizontal="center"/>
    </xf>
    <xf numFmtId="0" fontId="6" fillId="0" borderId="25" xfId="0" applyFont="1" applyBorder="1" applyAlignment="1">
      <alignment horizontal="center"/>
    </xf>
    <xf numFmtId="2" fontId="0" fillId="0" borderId="0" xfId="0" applyNumberFormat="1" applyAlignment="1">
      <alignment horizontal="center"/>
    </xf>
    <xf numFmtId="0" fontId="8" fillId="0" borderId="0" xfId="0" applyFont="1"/>
    <xf numFmtId="0" fontId="0" fillId="0" borderId="0" xfId="0" applyAlignment="1">
      <alignment vertical="center"/>
    </xf>
    <xf numFmtId="0" fontId="10" fillId="2" borderId="1" xfId="0" applyFont="1" applyFill="1" applyBorder="1"/>
    <xf numFmtId="0" fontId="0" fillId="2" borderId="2" xfId="0" applyFill="1" applyBorder="1" applyAlignment="1">
      <alignment vertical="center"/>
    </xf>
    <xf numFmtId="0" fontId="0" fillId="2" borderId="2" xfId="0" applyFill="1" applyBorder="1" applyAlignment="1">
      <alignment horizontal="center"/>
    </xf>
    <xf numFmtId="0" fontId="0" fillId="8" borderId="2" xfId="0" applyFill="1" applyBorder="1" applyAlignment="1">
      <alignment horizontal="center"/>
    </xf>
    <xf numFmtId="0" fontId="11" fillId="2" borderId="3" xfId="0" applyFont="1" applyFill="1" applyBorder="1"/>
    <xf numFmtId="0" fontId="0" fillId="2" borderId="0" xfId="0" applyFill="1" applyAlignment="1">
      <alignment vertical="center"/>
    </xf>
    <xf numFmtId="0" fontId="0" fillId="2" borderId="0" xfId="0" applyFill="1" applyAlignment="1">
      <alignment horizontal="center"/>
    </xf>
    <xf numFmtId="0" fontId="0" fillId="8" borderId="0" xfId="0" applyFill="1" applyAlignment="1">
      <alignment horizontal="center"/>
    </xf>
    <xf numFmtId="0" fontId="11" fillId="0" borderId="3" xfId="0" applyFont="1" applyBorder="1"/>
    <xf numFmtId="0" fontId="0" fillId="3" borderId="9" xfId="0" applyFill="1" applyBorder="1"/>
    <xf numFmtId="0" fontId="0" fillId="3" borderId="10" xfId="0" applyFill="1" applyBorder="1" applyAlignment="1">
      <alignment vertical="center"/>
    </xf>
    <xf numFmtId="164" fontId="0" fillId="3" borderId="12" xfId="0" applyNumberFormat="1" applyFill="1" applyBorder="1" applyAlignment="1">
      <alignment horizontal="center"/>
    </xf>
    <xf numFmtId="0" fontId="0" fillId="0" borderId="29" xfId="0" applyBorder="1"/>
    <xf numFmtId="164" fontId="0" fillId="0" borderId="13" xfId="0" applyNumberFormat="1" applyBorder="1" applyAlignment="1">
      <alignment horizontal="center"/>
    </xf>
    <xf numFmtId="0" fontId="0" fillId="5" borderId="30" xfId="0" applyFill="1" applyBorder="1"/>
    <xf numFmtId="0" fontId="0" fillId="5" borderId="16" xfId="0" applyFill="1" applyBorder="1" applyAlignment="1">
      <alignment vertical="center"/>
    </xf>
    <xf numFmtId="164" fontId="2" fillId="5" borderId="15" xfId="0" applyNumberFormat="1" applyFont="1" applyFill="1" applyBorder="1" applyAlignment="1">
      <alignment horizontal="center"/>
    </xf>
    <xf numFmtId="3" fontId="0" fillId="0" borderId="0" xfId="0" applyNumberFormat="1" applyAlignment="1">
      <alignment horizontal="center"/>
    </xf>
    <xf numFmtId="0" fontId="2" fillId="0" borderId="31" xfId="0" applyFont="1" applyBorder="1"/>
    <xf numFmtId="0" fontId="2" fillId="0" borderId="9" xfId="0" applyFont="1" applyBorder="1" applyAlignment="1">
      <alignment horizontal="center"/>
    </xf>
    <xf numFmtId="0" fontId="2" fillId="0" borderId="24" xfId="0" applyFont="1" applyBorder="1" applyAlignment="1">
      <alignment horizontal="center"/>
    </xf>
    <xf numFmtId="3" fontId="0" fillId="0" borderId="6" xfId="0" applyNumberFormat="1" applyBorder="1" applyAlignment="1">
      <alignment horizontal="center" vertical="center"/>
    </xf>
    <xf numFmtId="165" fontId="0" fillId="0" borderId="7" xfId="0" applyNumberFormat="1" applyBorder="1" applyAlignment="1">
      <alignment horizontal="center" vertical="center"/>
    </xf>
    <xf numFmtId="165" fontId="0" fillId="0" borderId="21" xfId="0" applyNumberFormat="1" applyBorder="1" applyAlignment="1">
      <alignment horizontal="center" vertical="center"/>
    </xf>
    <xf numFmtId="0" fontId="8" fillId="0" borderId="32" xfId="0" applyFont="1" applyBorder="1"/>
    <xf numFmtId="9" fontId="8" fillId="0" borderId="6" xfId="0" applyNumberFormat="1" applyFont="1" applyBorder="1" applyAlignment="1">
      <alignment horizontal="center" vertical="center"/>
    </xf>
    <xf numFmtId="9" fontId="8" fillId="0" borderId="7" xfId="2" applyFont="1" applyBorder="1" applyAlignment="1">
      <alignment horizontal="center" vertical="center"/>
    </xf>
    <xf numFmtId="9" fontId="8" fillId="0" borderId="21" xfId="2" applyFont="1" applyBorder="1" applyAlignment="1">
      <alignment horizontal="center" vertical="center"/>
    </xf>
    <xf numFmtId="0" fontId="0" fillId="0" borderId="32" xfId="0" applyBorder="1"/>
    <xf numFmtId="165" fontId="0" fillId="0" borderId="16" xfId="0" applyNumberFormat="1" applyBorder="1" applyAlignment="1">
      <alignment horizontal="center" vertical="center"/>
    </xf>
    <xf numFmtId="165" fontId="0" fillId="0" borderId="23" xfId="0" applyNumberFormat="1" applyBorder="1" applyAlignment="1">
      <alignment horizontal="center" vertical="center"/>
    </xf>
    <xf numFmtId="0" fontId="0" fillId="0" borderId="0" xfId="0" applyAlignment="1">
      <alignment horizontal="center" vertical="center"/>
    </xf>
    <xf numFmtId="3" fontId="0" fillId="0" borderId="0" xfId="0" applyNumberFormat="1" applyAlignment="1">
      <alignment horizontal="center" vertical="center"/>
    </xf>
    <xf numFmtId="3" fontId="0" fillId="0" borderId="20" xfId="0" applyNumberFormat="1" applyBorder="1" applyAlignment="1">
      <alignment horizontal="center" vertical="center"/>
    </xf>
    <xf numFmtId="0" fontId="2" fillId="9" borderId="31" xfId="0" applyFont="1" applyFill="1" applyBorder="1" applyAlignment="1">
      <alignment horizontal="right" vertical="center"/>
    </xf>
    <xf numFmtId="3" fontId="2" fillId="9" borderId="6" xfId="0" applyNumberFormat="1" applyFont="1" applyFill="1" applyBorder="1" applyAlignment="1">
      <alignment horizontal="center" vertical="center"/>
    </xf>
    <xf numFmtId="3" fontId="2" fillId="9" borderId="7" xfId="0" applyNumberFormat="1" applyFont="1" applyFill="1" applyBorder="1" applyAlignment="1">
      <alignment horizontal="center" vertical="center"/>
    </xf>
    <xf numFmtId="3" fontId="2" fillId="9" borderId="21" xfId="0" applyNumberFormat="1" applyFont="1" applyFill="1" applyBorder="1" applyAlignment="1">
      <alignment horizontal="center" vertical="center"/>
    </xf>
    <xf numFmtId="3" fontId="0" fillId="0" borderId="20" xfId="0" applyNumberFormat="1" applyBorder="1" applyAlignment="1">
      <alignment horizontal="center"/>
    </xf>
    <xf numFmtId="0" fontId="2" fillId="0" borderId="12" xfId="0" applyFont="1" applyBorder="1"/>
    <xf numFmtId="0" fontId="2" fillId="0" borderId="12" xfId="0" applyFont="1" applyBorder="1" applyAlignment="1">
      <alignment horizontal="center" vertical="center"/>
    </xf>
    <xf numFmtId="165" fontId="2" fillId="0" borderId="9" xfId="0" applyNumberFormat="1" applyFont="1" applyBorder="1" applyAlignment="1">
      <alignment horizontal="center"/>
    </xf>
    <xf numFmtId="0" fontId="0" fillId="0" borderId="13" xfId="0" applyBorder="1"/>
    <xf numFmtId="0" fontId="0" fillId="0" borderId="13" xfId="0" applyBorder="1" applyAlignment="1">
      <alignment horizontal="center" vertical="center"/>
    </xf>
    <xf numFmtId="165" fontId="0" fillId="0" borderId="29" xfId="0" applyNumberFormat="1" applyBorder="1" applyAlignment="1">
      <alignment horizontal="center"/>
    </xf>
    <xf numFmtId="3" fontId="0" fillId="0" borderId="13" xfId="0" applyNumberFormat="1" applyBorder="1" applyAlignment="1">
      <alignment horizontal="center" vertical="center"/>
    </xf>
    <xf numFmtId="165" fontId="0" fillId="0" borderId="29" xfId="0" applyNumberFormat="1" applyBorder="1" applyAlignment="1">
      <alignment horizontal="center" vertical="center"/>
    </xf>
    <xf numFmtId="0" fontId="0" fillId="0" borderId="15" xfId="0" applyBorder="1"/>
    <xf numFmtId="0" fontId="2" fillId="0" borderId="8" xfId="0" applyFont="1" applyBorder="1" applyAlignment="1">
      <alignment horizontal="right"/>
    </xf>
    <xf numFmtId="0" fontId="2" fillId="0" borderId="15" xfId="0" applyFont="1" applyBorder="1" applyAlignment="1">
      <alignment horizontal="center" vertical="center"/>
    </xf>
    <xf numFmtId="165" fontId="2" fillId="0" borderId="30" xfId="0" applyNumberFormat="1" applyFont="1" applyBorder="1" applyAlignment="1">
      <alignment horizontal="center"/>
    </xf>
    <xf numFmtId="0" fontId="6" fillId="0" borderId="6" xfId="0" applyFont="1" applyBorder="1" applyAlignment="1">
      <alignment horizontal="right"/>
    </xf>
    <xf numFmtId="0" fontId="0" fillId="0" borderId="6" xfId="0" applyBorder="1" applyAlignment="1">
      <alignment horizontal="center" vertical="center"/>
    </xf>
    <xf numFmtId="0" fontId="6" fillId="0" borderId="6" xfId="0" applyFont="1" applyBorder="1" applyAlignment="1">
      <alignment horizontal="center"/>
    </xf>
    <xf numFmtId="0" fontId="6" fillId="0" borderId="7" xfId="0" applyFont="1" applyBorder="1" applyAlignment="1">
      <alignment horizontal="center"/>
    </xf>
    <xf numFmtId="0" fontId="6" fillId="0" borderId="21" xfId="0" applyFont="1" applyBorder="1" applyAlignment="1">
      <alignment horizontal="center"/>
    </xf>
    <xf numFmtId="0" fontId="5" fillId="0" borderId="31" xfId="0" applyFont="1" applyBorder="1" applyAlignment="1">
      <alignment wrapText="1"/>
    </xf>
    <xf numFmtId="0" fontId="5" fillId="0" borderId="8" xfId="0" applyFont="1" applyBorder="1" applyAlignment="1">
      <alignment vertical="center"/>
    </xf>
    <xf numFmtId="165" fontId="5" fillId="0" borderId="7" xfId="0" applyNumberFormat="1" applyFont="1" applyBorder="1" applyAlignment="1">
      <alignment horizontal="center"/>
    </xf>
    <xf numFmtId="165" fontId="5" fillId="0" borderId="21" xfId="0" applyNumberFormat="1" applyFont="1" applyBorder="1" applyAlignment="1">
      <alignment horizontal="center"/>
    </xf>
    <xf numFmtId="0" fontId="9" fillId="0" borderId="33" xfId="0" applyFont="1" applyBorder="1" applyAlignment="1">
      <alignment vertical="center"/>
    </xf>
    <xf numFmtId="0" fontId="6" fillId="0" borderId="34" xfId="0" applyFont="1" applyBorder="1" applyAlignment="1">
      <alignment horizontal="center" vertical="center"/>
    </xf>
    <xf numFmtId="0" fontId="6" fillId="0" borderId="18" xfId="0" applyFont="1" applyBorder="1" applyAlignment="1">
      <alignment horizontal="center" vertical="center"/>
    </xf>
    <xf numFmtId="0" fontId="6" fillId="0" borderId="25" xfId="0" applyFont="1" applyBorder="1" applyAlignment="1">
      <alignment horizontal="center" vertical="center"/>
    </xf>
    <xf numFmtId="0" fontId="9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10" fillId="10" borderId="1" xfId="0" applyFont="1" applyFill="1" applyBorder="1"/>
    <xf numFmtId="0" fontId="0" fillId="11" borderId="2" xfId="0" applyFill="1" applyBorder="1" applyAlignment="1">
      <alignment horizontal="center" vertical="center"/>
    </xf>
    <xf numFmtId="0" fontId="0" fillId="11" borderId="2" xfId="0" applyFill="1" applyBorder="1" applyAlignment="1">
      <alignment horizontal="center"/>
    </xf>
    <xf numFmtId="0" fontId="11" fillId="10" borderId="3" xfId="0" applyFont="1" applyFill="1" applyBorder="1"/>
    <xf numFmtId="0" fontId="0" fillId="11" borderId="0" xfId="0" applyFill="1" applyAlignment="1">
      <alignment horizontal="center" vertical="center"/>
    </xf>
    <xf numFmtId="0" fontId="0" fillId="11" borderId="0" xfId="0" applyFill="1" applyAlignment="1">
      <alignment horizontal="center"/>
    </xf>
    <xf numFmtId="0" fontId="0" fillId="3" borderId="22" xfId="0" applyFill="1" applyBorder="1" applyAlignment="1">
      <alignment horizontal="center" vertical="center"/>
    </xf>
    <xf numFmtId="0" fontId="0" fillId="0" borderId="35" xfId="0" applyBorder="1" applyAlignment="1">
      <alignment horizontal="center" vertical="center"/>
    </xf>
    <xf numFmtId="0" fontId="0" fillId="5" borderId="36" xfId="0" applyFill="1" applyBorder="1" applyAlignment="1">
      <alignment horizontal="center" vertical="center"/>
    </xf>
    <xf numFmtId="164" fontId="0" fillId="5" borderId="15" xfId="0" applyNumberFormat="1" applyFill="1" applyBorder="1" applyAlignment="1">
      <alignment horizontal="center"/>
    </xf>
    <xf numFmtId="0" fontId="2" fillId="0" borderId="4" xfId="0" applyFont="1" applyBorder="1"/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0" fillId="0" borderId="14" xfId="0" applyBorder="1"/>
    <xf numFmtId="165" fontId="0" fillId="0" borderId="6" xfId="0" applyNumberFormat="1" applyBorder="1" applyAlignment="1">
      <alignment horizontal="center" vertical="center"/>
    </xf>
    <xf numFmtId="0" fontId="8" fillId="0" borderId="14" xfId="0" applyFont="1" applyBorder="1"/>
    <xf numFmtId="9" fontId="8" fillId="0" borderId="30" xfId="0" applyNumberFormat="1" applyFont="1" applyBorder="1" applyAlignment="1">
      <alignment horizontal="center" vertical="center"/>
    </xf>
    <xf numFmtId="9" fontId="8" fillId="0" borderId="16" xfId="2" applyFont="1" applyBorder="1" applyAlignment="1">
      <alignment horizontal="center" vertical="center"/>
    </xf>
    <xf numFmtId="0" fontId="2" fillId="0" borderId="21" xfId="0" applyFont="1" applyBorder="1" applyAlignment="1">
      <alignment horizontal="center"/>
    </xf>
    <xf numFmtId="9" fontId="8" fillId="0" borderId="23" xfId="2" applyFont="1" applyBorder="1" applyAlignment="1">
      <alignment horizontal="center" vertical="center"/>
    </xf>
    <xf numFmtId="0" fontId="13" fillId="0" borderId="0" xfId="0" applyFont="1"/>
    <xf numFmtId="0" fontId="13" fillId="0" borderId="18" xfId="0" applyFont="1" applyBorder="1"/>
    <xf numFmtId="9" fontId="13" fillId="0" borderId="18" xfId="2" applyFont="1" applyBorder="1" applyAlignment="1">
      <alignment horizontal="center"/>
    </xf>
    <xf numFmtId="0" fontId="6" fillId="0" borderId="3" xfId="0" applyFont="1" applyBorder="1" applyAlignment="1">
      <alignment horizontal="right" wrapText="1"/>
    </xf>
    <xf numFmtId="0" fontId="6" fillId="0" borderId="0" xfId="0" applyFont="1" applyAlignment="1">
      <alignment horizontal="center"/>
    </xf>
    <xf numFmtId="0" fontId="6" fillId="0" borderId="20" xfId="0" applyFont="1" applyBorder="1" applyAlignment="1">
      <alignment horizontal="center"/>
    </xf>
    <xf numFmtId="0" fontId="0" fillId="0" borderId="37" xfId="0" applyBorder="1"/>
    <xf numFmtId="0" fontId="0" fillId="0" borderId="37" xfId="0" applyBorder="1" applyAlignment="1">
      <alignment horizontal="center"/>
    </xf>
    <xf numFmtId="0" fontId="14" fillId="0" borderId="0" xfId="0" applyFont="1"/>
    <xf numFmtId="0" fontId="13" fillId="0" borderId="0" xfId="0" applyFont="1" applyAlignment="1">
      <alignment horizontal="center"/>
    </xf>
    <xf numFmtId="0" fontId="15" fillId="0" borderId="0" xfId="0" applyFont="1"/>
    <xf numFmtId="0" fontId="9" fillId="0" borderId="26" xfId="0" applyFont="1" applyBorder="1" applyAlignment="1">
      <alignment horizontal="center" vertical="center"/>
    </xf>
    <xf numFmtId="0" fontId="9" fillId="0" borderId="27" xfId="0" applyFont="1" applyBorder="1" applyAlignment="1">
      <alignment horizontal="center" vertical="center"/>
    </xf>
    <xf numFmtId="0" fontId="9" fillId="0" borderId="28" xfId="0" applyFont="1" applyBorder="1" applyAlignment="1">
      <alignment horizontal="center" vertical="center"/>
    </xf>
    <xf numFmtId="0" fontId="9" fillId="0" borderId="12" xfId="0" applyFont="1" applyBorder="1" applyAlignment="1">
      <alignment horizontal="center" vertical="center"/>
    </xf>
    <xf numFmtId="0" fontId="9" fillId="0" borderId="13" xfId="0" applyFont="1" applyBorder="1" applyAlignment="1">
      <alignment horizontal="center" vertical="center"/>
    </xf>
    <xf numFmtId="0" fontId="9" fillId="0" borderId="15" xfId="0" applyFont="1" applyBorder="1" applyAlignment="1">
      <alignment horizontal="center" vertical="center"/>
    </xf>
    <xf numFmtId="0" fontId="0" fillId="3" borderId="6" xfId="0" applyFill="1" applyBorder="1" applyAlignment="1">
      <alignment horizontal="center"/>
    </xf>
    <xf numFmtId="0" fontId="0" fillId="3" borderId="7" xfId="0" applyFill="1" applyBorder="1" applyAlignment="1">
      <alignment horizontal="center"/>
    </xf>
    <xf numFmtId="0" fontId="0" fillId="3" borderId="5" xfId="0" applyFill="1" applyBorder="1" applyAlignment="1">
      <alignment horizontal="center"/>
    </xf>
    <xf numFmtId="0" fontId="0" fillId="4" borderId="6" xfId="0" applyFill="1" applyBorder="1" applyAlignment="1">
      <alignment horizontal="center" wrapText="1"/>
    </xf>
    <xf numFmtId="0" fontId="0" fillId="4" borderId="5" xfId="0" applyFill="1" applyBorder="1" applyAlignment="1">
      <alignment horizontal="center" wrapText="1"/>
    </xf>
    <xf numFmtId="0" fontId="0" fillId="7" borderId="6" xfId="0" applyFill="1" applyBorder="1" applyAlignment="1">
      <alignment horizontal="center"/>
    </xf>
    <xf numFmtId="0" fontId="0" fillId="7" borderId="7" xfId="0" applyFill="1" applyBorder="1" applyAlignment="1">
      <alignment horizontal="center"/>
    </xf>
    <xf numFmtId="0" fontId="0" fillId="7" borderId="21" xfId="0" applyFill="1" applyBorder="1" applyAlignment="1">
      <alignment horizontal="center"/>
    </xf>
  </cellXfs>
  <cellStyles count="3">
    <cellStyle name="Migliaia" xfId="1" builtinId="3"/>
    <cellStyle name="Normale" xfId="0" builtinId="0"/>
    <cellStyle name="Percentuale" xfId="2" builtinId="5"/>
  </cellStyles>
  <dxfs count="0"/>
  <tableStyles count="0" defaultTableStyle="TableStyleMedium2" defaultPivotStyle="PivotStyleLight16"/>
  <colors>
    <mruColors>
      <color rgb="FFE8451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28"/>
  <sheetViews>
    <sheetView tabSelected="1" topLeftCell="B1" workbookViewId="0">
      <selection activeCell="C1" sqref="C1"/>
    </sheetView>
  </sheetViews>
  <sheetFormatPr baseColWidth="10" defaultColWidth="9" defaultRowHeight="15" x14ac:dyDescent="0.2"/>
  <cols>
    <col min="2" max="2" width="42.83203125" customWidth="1"/>
    <col min="3" max="3" width="13.33203125" style="76" customWidth="1"/>
    <col min="4" max="4" width="11.83203125" style="2" customWidth="1"/>
    <col min="5" max="6" width="10.6640625" style="2" customWidth="1"/>
    <col min="7" max="7" width="11.6640625" style="2" customWidth="1"/>
    <col min="8" max="8" width="15" style="2" customWidth="1"/>
    <col min="9" max="11" width="2.5" customWidth="1"/>
    <col min="12" max="12" width="55.1640625" customWidth="1"/>
    <col min="13" max="13" width="14.83203125" style="2" customWidth="1"/>
    <col min="14" max="14" width="11.6640625" style="2" customWidth="1"/>
    <col min="15" max="15" width="10.6640625" style="2" customWidth="1"/>
    <col min="16" max="17" width="11.6640625" style="2" customWidth="1"/>
    <col min="18" max="18" width="15" style="2" customWidth="1"/>
  </cols>
  <sheetData>
    <row r="1" spans="1:18" ht="21" x14ac:dyDescent="0.25">
      <c r="A1" s="121">
        <v>0</v>
      </c>
      <c r="C1" s="171" t="s">
        <v>64</v>
      </c>
      <c r="D1" s="172"/>
      <c r="E1" s="173" t="s">
        <v>0</v>
      </c>
      <c r="F1" s="172"/>
      <c r="G1" s="172"/>
      <c r="H1" s="172"/>
      <c r="I1" s="163"/>
      <c r="J1" s="163"/>
      <c r="K1" s="163"/>
      <c r="L1" s="163"/>
      <c r="M1" s="172"/>
    </row>
    <row r="3" spans="1:18" ht="15" customHeight="1" x14ac:dyDescent="0.25">
      <c r="A3" s="174" t="s">
        <v>1</v>
      </c>
      <c r="B3" s="77" t="s">
        <v>2</v>
      </c>
      <c r="C3" s="78"/>
      <c r="D3" s="79"/>
      <c r="E3" s="80"/>
      <c r="F3" s="80"/>
      <c r="G3" s="80"/>
      <c r="H3" s="58"/>
      <c r="L3" s="143" t="s">
        <v>3</v>
      </c>
      <c r="M3" s="144"/>
      <c r="N3" s="145"/>
      <c r="O3" s="7"/>
      <c r="P3" s="7"/>
      <c r="Q3" s="7"/>
      <c r="R3" s="58"/>
    </row>
    <row r="4" spans="1:18" ht="14.5" customHeight="1" x14ac:dyDescent="0.2">
      <c r="A4" s="175"/>
      <c r="B4" s="81" t="s">
        <v>4</v>
      </c>
      <c r="C4" s="82"/>
      <c r="D4" s="83"/>
      <c r="E4" s="84"/>
      <c r="F4" s="84"/>
      <c r="G4" s="84"/>
      <c r="H4" s="59"/>
      <c r="L4" s="146" t="s">
        <v>5</v>
      </c>
      <c r="M4" s="147"/>
      <c r="N4" s="148"/>
      <c r="R4" s="59"/>
    </row>
    <row r="5" spans="1:18" ht="25.75" customHeight="1" x14ac:dyDescent="0.2">
      <c r="A5" s="176"/>
      <c r="B5" s="8" t="s">
        <v>6</v>
      </c>
      <c r="C5" s="82"/>
      <c r="D5" s="83"/>
      <c r="E5" s="84"/>
      <c r="F5" s="84"/>
      <c r="G5" s="84"/>
      <c r="H5" s="59"/>
      <c r="L5" s="146" t="s">
        <v>6</v>
      </c>
      <c r="M5" s="147"/>
      <c r="N5" s="148"/>
      <c r="R5" s="59"/>
    </row>
    <row r="6" spans="1:18" x14ac:dyDescent="0.2">
      <c r="B6" s="85"/>
      <c r="H6" s="59"/>
      <c r="L6" s="85"/>
      <c r="M6" s="108"/>
      <c r="R6" s="59"/>
    </row>
    <row r="7" spans="1:18" ht="14.5" customHeight="1" x14ac:dyDescent="0.2">
      <c r="A7" s="177" t="s">
        <v>7</v>
      </c>
      <c r="B7" s="86" t="s">
        <v>8</v>
      </c>
      <c r="C7" s="87"/>
      <c r="D7" s="88">
        <v>900000</v>
      </c>
      <c r="H7" s="59"/>
      <c r="L7" s="86" t="s">
        <v>8</v>
      </c>
      <c r="M7" s="149"/>
      <c r="N7" s="88">
        <v>900000</v>
      </c>
      <c r="R7" s="59"/>
    </row>
    <row r="8" spans="1:18" ht="14.5" customHeight="1" x14ac:dyDescent="0.2">
      <c r="A8" s="178"/>
      <c r="B8" s="89" t="s">
        <v>9</v>
      </c>
      <c r="D8" s="90">
        <f>+D7/12</f>
        <v>75000</v>
      </c>
      <c r="H8" s="59"/>
      <c r="L8" s="89" t="s">
        <v>9</v>
      </c>
      <c r="M8" s="150"/>
      <c r="N8" s="90">
        <f>+N7/12</f>
        <v>75000</v>
      </c>
      <c r="R8" s="59"/>
    </row>
    <row r="9" spans="1:18" ht="25.75" customHeight="1" x14ac:dyDescent="0.2">
      <c r="A9" s="179"/>
      <c r="B9" s="91" t="s">
        <v>10</v>
      </c>
      <c r="C9" s="92"/>
      <c r="D9" s="93">
        <f>+D8*0.501</f>
        <v>37575</v>
      </c>
      <c r="H9" s="59"/>
      <c r="L9" s="91" t="s">
        <v>10</v>
      </c>
      <c r="M9" s="151"/>
      <c r="N9" s="152">
        <f>+N8*0.501</f>
        <v>37575</v>
      </c>
      <c r="R9" s="59"/>
    </row>
    <row r="10" spans="1:18" x14ac:dyDescent="0.2">
      <c r="B10" s="26"/>
      <c r="D10" s="94"/>
      <c r="H10" s="59"/>
      <c r="L10" s="26"/>
      <c r="M10" s="108"/>
      <c r="N10" s="94"/>
      <c r="R10" s="59"/>
    </row>
    <row r="11" spans="1:18" s="1" customFormat="1" x14ac:dyDescent="0.2">
      <c r="B11" s="95"/>
      <c r="C11" s="96" t="s">
        <v>11</v>
      </c>
      <c r="D11" s="21" t="s">
        <v>12</v>
      </c>
      <c r="E11" s="21" t="s">
        <v>13</v>
      </c>
      <c r="F11" s="21" t="s">
        <v>14</v>
      </c>
      <c r="G11" s="21" t="s">
        <v>15</v>
      </c>
      <c r="H11" s="97" t="s">
        <v>16</v>
      </c>
      <c r="L11" s="153"/>
      <c r="M11" s="154" t="s">
        <v>11</v>
      </c>
      <c r="N11" s="155" t="s">
        <v>12</v>
      </c>
      <c r="O11" s="155" t="s">
        <v>13</v>
      </c>
      <c r="P11" s="155" t="s">
        <v>14</v>
      </c>
      <c r="Q11" s="155" t="s">
        <v>15</v>
      </c>
      <c r="R11" s="161" t="s">
        <v>16</v>
      </c>
    </row>
    <row r="12" spans="1:18" ht="21" customHeight="1" x14ac:dyDescent="0.2">
      <c r="B12" s="16" t="s">
        <v>17</v>
      </c>
      <c r="C12" s="98">
        <f>+D7/12</f>
        <v>75000</v>
      </c>
      <c r="D12" s="99">
        <f>+D7/12</f>
        <v>75000</v>
      </c>
      <c r="E12" s="99">
        <f>+D12</f>
        <v>75000</v>
      </c>
      <c r="F12" s="99">
        <f t="shared" ref="F12:H12" si="0">+E12</f>
        <v>75000</v>
      </c>
      <c r="G12" s="99">
        <f t="shared" si="0"/>
        <v>75000</v>
      </c>
      <c r="H12" s="100">
        <f t="shared" si="0"/>
        <v>75000</v>
      </c>
      <c r="L12" s="156" t="s">
        <v>17</v>
      </c>
      <c r="M12" s="157">
        <f>+N7/12</f>
        <v>75000</v>
      </c>
      <c r="N12" s="99">
        <f>+N7/12</f>
        <v>75000</v>
      </c>
      <c r="O12" s="99">
        <f>+N12</f>
        <v>75000</v>
      </c>
      <c r="P12" s="99">
        <f t="shared" ref="P12:R12" si="1">+O12</f>
        <v>75000</v>
      </c>
      <c r="Q12" s="99">
        <f t="shared" si="1"/>
        <v>75000</v>
      </c>
      <c r="R12" s="100">
        <f t="shared" si="1"/>
        <v>75000</v>
      </c>
    </row>
    <row r="13" spans="1:18" s="75" customFormat="1" ht="21" customHeight="1" x14ac:dyDescent="0.2">
      <c r="B13" s="101" t="s">
        <v>18</v>
      </c>
      <c r="C13" s="102">
        <v>1</v>
      </c>
      <c r="D13" s="103">
        <v>0.5</v>
      </c>
      <c r="E13" s="103">
        <v>0.5</v>
      </c>
      <c r="F13" s="103">
        <v>0</v>
      </c>
      <c r="G13" s="103">
        <v>0</v>
      </c>
      <c r="H13" s="104">
        <v>0</v>
      </c>
      <c r="L13" s="158" t="s">
        <v>19</v>
      </c>
      <c r="M13" s="159">
        <v>1</v>
      </c>
      <c r="N13" s="160">
        <v>0.5</v>
      </c>
      <c r="O13" s="160">
        <v>0.5</v>
      </c>
      <c r="P13" s="160">
        <v>0</v>
      </c>
      <c r="Q13" s="160">
        <v>0</v>
      </c>
      <c r="R13" s="162">
        <v>0</v>
      </c>
    </row>
    <row r="14" spans="1:18" ht="28.75" customHeight="1" x14ac:dyDescent="0.2">
      <c r="B14" s="105" t="s">
        <v>20</v>
      </c>
      <c r="C14" s="98">
        <v>75000</v>
      </c>
      <c r="D14" s="106">
        <f>C12*D13</f>
        <v>37500</v>
      </c>
      <c r="E14" s="106">
        <f>D12*E13</f>
        <v>37500</v>
      </c>
      <c r="F14" s="106">
        <f>E12*F13</f>
        <v>0</v>
      </c>
      <c r="G14" s="106">
        <f>F12*G13</f>
        <v>0</v>
      </c>
      <c r="H14" s="107">
        <f>G12*H13</f>
        <v>0</v>
      </c>
      <c r="L14" s="156" t="s">
        <v>21</v>
      </c>
      <c r="M14" s="157">
        <v>75000</v>
      </c>
      <c r="N14" s="106">
        <f>M12*N13</f>
        <v>37500</v>
      </c>
      <c r="O14" s="106">
        <f t="shared" ref="O14:P14" si="2">N12*O13</f>
        <v>37500</v>
      </c>
      <c r="P14" s="106">
        <f t="shared" si="2"/>
        <v>0</v>
      </c>
      <c r="Q14" s="106">
        <f t="shared" ref="Q14:R14" si="3">P12*Q13</f>
        <v>0</v>
      </c>
      <c r="R14" s="107">
        <f t="shared" si="3"/>
        <v>0</v>
      </c>
    </row>
    <row r="15" spans="1:18" ht="10.25" customHeight="1" x14ac:dyDescent="0.2">
      <c r="B15" s="26"/>
      <c r="C15" s="108"/>
      <c r="D15" s="109"/>
      <c r="E15" s="109"/>
      <c r="F15" s="109"/>
      <c r="G15" s="109"/>
      <c r="H15" s="110"/>
      <c r="L15" s="26"/>
      <c r="M15" s="108"/>
      <c r="N15" s="109"/>
      <c r="O15" s="109"/>
      <c r="P15" s="109"/>
      <c r="Q15" s="109"/>
      <c r="R15" s="110"/>
    </row>
    <row r="16" spans="1:18" ht="29.5" customHeight="1" x14ac:dyDescent="0.2">
      <c r="B16" s="111" t="s">
        <v>22</v>
      </c>
      <c r="C16" s="112">
        <f>+C12</f>
        <v>75000</v>
      </c>
      <c r="D16" s="113">
        <f>+C12-D14+D12</f>
        <v>112500</v>
      </c>
      <c r="E16" s="113">
        <f>+D16-E14+E12</f>
        <v>150000</v>
      </c>
      <c r="F16" s="113">
        <f>+E16-F14+F12</f>
        <v>225000</v>
      </c>
      <c r="G16" s="113">
        <f>+F16-G14+G12</f>
        <v>300000</v>
      </c>
      <c r="H16" s="114">
        <f>+G16-H14+H12</f>
        <v>375000</v>
      </c>
      <c r="L16" s="111" t="s">
        <v>22</v>
      </c>
      <c r="M16" s="112">
        <v>0</v>
      </c>
      <c r="N16" s="113">
        <f>+N12-N14</f>
        <v>37500</v>
      </c>
      <c r="O16" s="113">
        <f>+N16-O14+O12</f>
        <v>75000</v>
      </c>
      <c r="P16" s="113">
        <f>+O16-P14+P12</f>
        <v>150000</v>
      </c>
      <c r="Q16" s="113">
        <f>+P16-Q14+Q12</f>
        <v>225000</v>
      </c>
      <c r="R16" s="114">
        <f>+Q16-R14+R12</f>
        <v>300000</v>
      </c>
    </row>
    <row r="17" spans="1:18" x14ac:dyDescent="0.2">
      <c r="B17" s="26"/>
      <c r="C17" s="108"/>
      <c r="D17" s="109"/>
      <c r="E17" s="94"/>
      <c r="F17" s="94"/>
      <c r="G17" s="94"/>
      <c r="H17" s="115"/>
      <c r="L17" s="26"/>
      <c r="M17" s="108"/>
      <c r="N17" s="109"/>
      <c r="O17" s="94"/>
      <c r="P17" s="94"/>
      <c r="Q17" s="94"/>
      <c r="R17" s="115"/>
    </row>
    <row r="18" spans="1:18" x14ac:dyDescent="0.2">
      <c r="B18" s="116" t="s">
        <v>23</v>
      </c>
      <c r="C18" s="117">
        <v>30</v>
      </c>
      <c r="D18" s="118">
        <f>+D12</f>
        <v>75000</v>
      </c>
      <c r="E18" s="44">
        <f>+E12</f>
        <v>75000</v>
      </c>
      <c r="F18" s="44">
        <f>+F12</f>
        <v>75000</v>
      </c>
      <c r="G18" s="44">
        <f>+G12</f>
        <v>75000</v>
      </c>
      <c r="H18" s="70">
        <f>+H12-H14</f>
        <v>75000</v>
      </c>
      <c r="L18" s="116" t="s">
        <v>23</v>
      </c>
      <c r="M18" s="117">
        <v>30</v>
      </c>
      <c r="N18" s="118">
        <v>0</v>
      </c>
      <c r="O18" s="44">
        <v>0</v>
      </c>
      <c r="P18" s="44">
        <v>0</v>
      </c>
      <c r="Q18" s="44">
        <v>0</v>
      </c>
      <c r="R18" s="70">
        <v>0</v>
      </c>
    </row>
    <row r="19" spans="1:18" x14ac:dyDescent="0.2">
      <c r="B19" s="119" t="s">
        <v>24</v>
      </c>
      <c r="C19" s="120">
        <v>30</v>
      </c>
      <c r="D19" s="121">
        <f>+C12-D14</f>
        <v>37500</v>
      </c>
      <c r="E19" s="27">
        <f>+D12-E14</f>
        <v>37500</v>
      </c>
      <c r="F19" s="27">
        <f>+E12-F14</f>
        <v>75000</v>
      </c>
      <c r="G19" s="27">
        <f>+F12-G14</f>
        <v>75000</v>
      </c>
      <c r="H19" s="63">
        <f>+G12-H14</f>
        <v>75000</v>
      </c>
      <c r="L19" s="119" t="s">
        <v>24</v>
      </c>
      <c r="M19" s="120">
        <v>30</v>
      </c>
      <c r="N19" s="2">
        <v>37500</v>
      </c>
      <c r="O19" s="27">
        <f>+N12-N14</f>
        <v>37500</v>
      </c>
      <c r="P19" s="27">
        <f>+P12</f>
        <v>75000</v>
      </c>
      <c r="Q19" s="27">
        <f>+Q12</f>
        <v>75000</v>
      </c>
      <c r="R19" s="63">
        <f>+R12</f>
        <v>75000</v>
      </c>
    </row>
    <row r="20" spans="1:18" x14ac:dyDescent="0.2">
      <c r="B20" s="119" t="s">
        <v>24</v>
      </c>
      <c r="C20" s="122">
        <v>60</v>
      </c>
      <c r="D20" s="123">
        <v>0</v>
      </c>
      <c r="E20" s="27">
        <f>+C12-D14</f>
        <v>37500</v>
      </c>
      <c r="F20" s="27">
        <f t="shared" ref="F20:H21" si="4">+E19</f>
        <v>37500</v>
      </c>
      <c r="G20" s="27">
        <f t="shared" si="4"/>
        <v>75000</v>
      </c>
      <c r="H20" s="63">
        <f t="shared" si="4"/>
        <v>75000</v>
      </c>
      <c r="L20" s="119" t="s">
        <v>24</v>
      </c>
      <c r="M20" s="122">
        <v>60</v>
      </c>
      <c r="N20" s="123">
        <v>0</v>
      </c>
      <c r="O20" s="27">
        <v>37500</v>
      </c>
      <c r="P20" s="27">
        <f>+N12-N14</f>
        <v>37500</v>
      </c>
      <c r="Q20" s="27">
        <f>+P12</f>
        <v>75000</v>
      </c>
      <c r="R20" s="63">
        <f>+Q12</f>
        <v>75000</v>
      </c>
    </row>
    <row r="21" spans="1:18" x14ac:dyDescent="0.2">
      <c r="B21" s="119" t="s">
        <v>24</v>
      </c>
      <c r="C21" s="122">
        <v>90</v>
      </c>
      <c r="D21" s="123">
        <v>0</v>
      </c>
      <c r="E21" s="27">
        <v>0</v>
      </c>
      <c r="F21" s="27">
        <f t="shared" si="4"/>
        <v>37500</v>
      </c>
      <c r="G21" s="27">
        <f t="shared" si="4"/>
        <v>37500</v>
      </c>
      <c r="H21" s="63">
        <f t="shared" si="4"/>
        <v>75000</v>
      </c>
      <c r="L21" s="119" t="s">
        <v>24</v>
      </c>
      <c r="M21" s="122">
        <v>90</v>
      </c>
      <c r="N21" s="123">
        <v>0</v>
      </c>
      <c r="O21" s="27">
        <v>0</v>
      </c>
      <c r="P21" s="27">
        <f>+N12-N14</f>
        <v>37500</v>
      </c>
      <c r="Q21" s="27">
        <f>+O12-O14</f>
        <v>37500</v>
      </c>
      <c r="R21" s="63">
        <f>+P12</f>
        <v>75000</v>
      </c>
    </row>
    <row r="22" spans="1:18" x14ac:dyDescent="0.2">
      <c r="B22" s="124" t="s">
        <v>24</v>
      </c>
      <c r="C22" s="122">
        <v>120</v>
      </c>
      <c r="D22" s="123">
        <v>0</v>
      </c>
      <c r="E22" s="27">
        <v>0</v>
      </c>
      <c r="F22" s="27">
        <v>0</v>
      </c>
      <c r="G22" s="27">
        <f>+F21</f>
        <v>37500</v>
      </c>
      <c r="H22" s="63">
        <f>+G21+G22</f>
        <v>75000</v>
      </c>
      <c r="L22" s="124" t="s">
        <v>24</v>
      </c>
      <c r="M22" s="122">
        <v>120</v>
      </c>
      <c r="N22" s="123">
        <v>0</v>
      </c>
      <c r="O22" s="27">
        <v>0</v>
      </c>
      <c r="P22" s="27">
        <v>0</v>
      </c>
      <c r="Q22" s="27">
        <f>+N12-N14</f>
        <v>37500</v>
      </c>
      <c r="R22" s="63">
        <f>+N12-N14+O12-O14</f>
        <v>75000</v>
      </c>
    </row>
    <row r="23" spans="1:18" x14ac:dyDescent="0.2">
      <c r="B23" s="125" t="s">
        <v>25</v>
      </c>
      <c r="C23" s="126"/>
      <c r="D23" s="127">
        <f t="shared" ref="D23:H23" si="5">SUM(D19:D22)</f>
        <v>37500</v>
      </c>
      <c r="E23" s="51">
        <f t="shared" si="5"/>
        <v>75000</v>
      </c>
      <c r="F23" s="51">
        <f t="shared" si="5"/>
        <v>150000</v>
      </c>
      <c r="G23" s="51">
        <f t="shared" si="5"/>
        <v>225000</v>
      </c>
      <c r="H23" s="72">
        <f t="shared" si="5"/>
        <v>300000</v>
      </c>
      <c r="L23" s="125" t="s">
        <v>25</v>
      </c>
      <c r="M23" s="126"/>
      <c r="N23" s="127">
        <f t="shared" ref="N23:R23" si="6">SUM(N19:N22)</f>
        <v>37500</v>
      </c>
      <c r="O23" s="51">
        <f t="shared" si="6"/>
        <v>75000</v>
      </c>
      <c r="P23" s="51">
        <f t="shared" si="6"/>
        <v>150000</v>
      </c>
      <c r="Q23" s="51">
        <f t="shared" si="6"/>
        <v>225000</v>
      </c>
      <c r="R23" s="72">
        <f t="shared" si="6"/>
        <v>300000</v>
      </c>
    </row>
    <row r="24" spans="1:18" x14ac:dyDescent="0.2">
      <c r="B24" s="128" t="s">
        <v>26</v>
      </c>
      <c r="C24" s="129"/>
      <c r="D24" s="130" t="str">
        <f>IF(SUM(D19:D22)&gt;$D$8*0.5,"ALLERTA","OK")</f>
        <v>OK</v>
      </c>
      <c r="E24" s="131" t="str">
        <f>IF(SUM(E19:E22)&gt;$D$8*0.5,"ALLERTA","OK")</f>
        <v>ALLERTA</v>
      </c>
      <c r="F24" s="131" t="str">
        <f t="shared" ref="F24:H24" si="7">IF(SUM(F19:F22)&gt;$D$8*0.5,"ALLERTA","OK")</f>
        <v>ALLERTA</v>
      </c>
      <c r="G24" s="131" t="str">
        <f t="shared" si="7"/>
        <v>ALLERTA</v>
      </c>
      <c r="H24" s="132" t="str">
        <f t="shared" si="7"/>
        <v>ALLERTA</v>
      </c>
      <c r="L24" s="128" t="s">
        <v>26</v>
      </c>
      <c r="M24" s="129"/>
      <c r="N24" s="130" t="str">
        <f>IF(SUM(N19:N22)&gt;$D$8*0.5,"ALLERTA","OK")</f>
        <v>OK</v>
      </c>
      <c r="O24" s="131" t="str">
        <f>IF(SUM(O19:O22)&gt;$D$8*0.5,"ALLERTA","OK")</f>
        <v>ALLERTA</v>
      </c>
      <c r="P24" s="131" t="str">
        <f t="shared" ref="P24:R24" si="8">IF(SUM(P19:P22)&gt;$D$8*0.5,"ALLERTA","OK")</f>
        <v>ALLERTA</v>
      </c>
      <c r="Q24" s="131" t="str">
        <f t="shared" si="8"/>
        <v>ALLERTA</v>
      </c>
      <c r="R24" s="132" t="str">
        <f t="shared" si="8"/>
        <v>ALLERTA</v>
      </c>
    </row>
    <row r="25" spans="1:18" ht="16" x14ac:dyDescent="0.2">
      <c r="B25" s="133" t="s">
        <v>27</v>
      </c>
      <c r="C25" s="134"/>
      <c r="D25" s="135">
        <f>+D16-C16</f>
        <v>37500</v>
      </c>
      <c r="E25" s="135">
        <f t="shared" ref="E25:H25" si="9">+E16-D16</f>
        <v>37500</v>
      </c>
      <c r="F25" s="135">
        <f t="shared" si="9"/>
        <v>75000</v>
      </c>
      <c r="G25" s="135">
        <f t="shared" si="9"/>
        <v>75000</v>
      </c>
      <c r="H25" s="136">
        <f t="shared" si="9"/>
        <v>75000</v>
      </c>
      <c r="L25" s="133" t="s">
        <v>28</v>
      </c>
      <c r="M25" s="134"/>
      <c r="N25" s="135">
        <f>+N16-M16</f>
        <v>37500</v>
      </c>
      <c r="O25" s="135">
        <f t="shared" ref="O25:R25" si="10">+O16-N16</f>
        <v>37500</v>
      </c>
      <c r="P25" s="135">
        <f t="shared" si="10"/>
        <v>75000</v>
      </c>
      <c r="Q25" s="135">
        <f t="shared" si="10"/>
        <v>75000</v>
      </c>
      <c r="R25" s="136">
        <f t="shared" si="10"/>
        <v>75000</v>
      </c>
    </row>
    <row r="26" spans="1:18" ht="32" x14ac:dyDescent="0.2">
      <c r="A26" s="137" t="s">
        <v>29</v>
      </c>
      <c r="B26" s="56" t="s">
        <v>30</v>
      </c>
      <c r="C26" s="138">
        <f>+C16/C12</f>
        <v>1</v>
      </c>
      <c r="D26" s="139">
        <f t="shared" ref="D26:H26" si="11">+D16/D12</f>
        <v>1.5</v>
      </c>
      <c r="E26" s="139">
        <f t="shared" si="11"/>
        <v>2</v>
      </c>
      <c r="F26" s="139">
        <f t="shared" si="11"/>
        <v>3</v>
      </c>
      <c r="G26" s="139">
        <f t="shared" si="11"/>
        <v>4</v>
      </c>
      <c r="H26" s="140">
        <f t="shared" si="11"/>
        <v>5</v>
      </c>
      <c r="L26" s="56" t="s">
        <v>31</v>
      </c>
      <c r="M26" s="138">
        <f>+M16/M12</f>
        <v>0</v>
      </c>
      <c r="N26" s="139">
        <f t="shared" ref="N26:R26" si="12">+N16/N12</f>
        <v>0.5</v>
      </c>
      <c r="O26" s="139">
        <f t="shared" si="12"/>
        <v>1</v>
      </c>
      <c r="P26" s="139">
        <f t="shared" si="12"/>
        <v>2</v>
      </c>
      <c r="Q26" s="139">
        <f t="shared" si="12"/>
        <v>3</v>
      </c>
      <c r="R26" s="140">
        <f t="shared" si="12"/>
        <v>4</v>
      </c>
    </row>
    <row r="27" spans="1:18" ht="14.5" customHeight="1" x14ac:dyDescent="0.2">
      <c r="A27" s="141"/>
    </row>
    <row r="28" spans="1:18" s="1" customFormat="1" ht="14.5" customHeight="1" x14ac:dyDescent="0.2">
      <c r="A28" s="141"/>
      <c r="B28" s="1" t="s">
        <v>32</v>
      </c>
      <c r="C28" s="142"/>
      <c r="D28" s="61" t="str">
        <f>IF(D16-SUM(D18:D22)=0,"OK","NOK")</f>
        <v>OK</v>
      </c>
      <c r="E28" s="61" t="str">
        <f t="shared" ref="E28:H28" si="13">IF(E16-SUM(E18:E22)=0,"OK","NOK")</f>
        <v>OK</v>
      </c>
      <c r="F28" s="61" t="str">
        <f t="shared" si="13"/>
        <v>OK</v>
      </c>
      <c r="G28" s="61" t="str">
        <f t="shared" si="13"/>
        <v>OK</v>
      </c>
      <c r="H28" s="61" t="str">
        <f t="shared" si="13"/>
        <v>OK</v>
      </c>
      <c r="L28" s="1" t="s">
        <v>32</v>
      </c>
      <c r="M28" s="61"/>
      <c r="N28" s="61" t="str">
        <f>IF(N16-SUM(N18:N22)=0,"OK","NOK")</f>
        <v>OK</v>
      </c>
      <c r="O28" s="61" t="str">
        <f t="shared" ref="O28:R28" si="14">IF(O16-SUM(O18:O22)=0,"OK","NOK")</f>
        <v>OK</v>
      </c>
      <c r="P28" s="61" t="str">
        <f t="shared" si="14"/>
        <v>OK</v>
      </c>
      <c r="Q28" s="61" t="str">
        <f t="shared" si="14"/>
        <v>OK</v>
      </c>
      <c r="R28" s="61" t="str">
        <f t="shared" si="14"/>
        <v>OK</v>
      </c>
    </row>
  </sheetData>
  <mergeCells count="2">
    <mergeCell ref="A3:A5"/>
    <mergeCell ref="A7:A9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32"/>
  <sheetViews>
    <sheetView workbookViewId="0">
      <selection activeCell="C1" sqref="C1"/>
    </sheetView>
  </sheetViews>
  <sheetFormatPr baseColWidth="10" defaultColWidth="9" defaultRowHeight="15" x14ac:dyDescent="0.2"/>
  <cols>
    <col min="1" max="1" width="38.33203125" customWidth="1"/>
    <col min="3" max="11" width="12.5" style="2" customWidth="1"/>
    <col min="13" max="13" width="11.5" customWidth="1"/>
  </cols>
  <sheetData>
    <row r="1" spans="1:14" ht="26" x14ac:dyDescent="0.3">
      <c r="C1" s="171" t="s">
        <v>64</v>
      </c>
      <c r="E1" s="3" t="s">
        <v>33</v>
      </c>
    </row>
    <row r="2" spans="1:14" x14ac:dyDescent="0.2">
      <c r="A2" s="4" t="s">
        <v>34</v>
      </c>
      <c r="B2" s="5"/>
      <c r="C2" s="6">
        <v>50000</v>
      </c>
      <c r="D2" s="7"/>
      <c r="E2" s="7"/>
      <c r="F2" s="7"/>
      <c r="G2" s="7"/>
      <c r="H2" s="7"/>
      <c r="I2" s="7"/>
      <c r="J2" s="7"/>
      <c r="K2" s="58"/>
    </row>
    <row r="3" spans="1:14" x14ac:dyDescent="0.2">
      <c r="A3" s="8" t="s">
        <v>35</v>
      </c>
      <c r="B3" s="9"/>
      <c r="C3" s="10" t="s">
        <v>36</v>
      </c>
      <c r="K3" s="59"/>
    </row>
    <row r="4" spans="1:14" x14ac:dyDescent="0.2">
      <c r="A4" s="8" t="s">
        <v>37</v>
      </c>
      <c r="B4" s="9"/>
      <c r="C4" s="11">
        <v>60</v>
      </c>
      <c r="K4" s="59"/>
    </row>
    <row r="5" spans="1:14" x14ac:dyDescent="0.2">
      <c r="A5" s="8" t="s">
        <v>38</v>
      </c>
      <c r="B5" s="9"/>
      <c r="C5" s="12">
        <v>0.22</v>
      </c>
      <c r="K5" s="59"/>
    </row>
    <row r="6" spans="1:14" x14ac:dyDescent="0.2">
      <c r="A6" s="8" t="s">
        <v>39</v>
      </c>
      <c r="B6" s="9"/>
      <c r="C6" s="12" t="s">
        <v>12</v>
      </c>
      <c r="K6" s="59"/>
    </row>
    <row r="7" spans="1:14" x14ac:dyDescent="0.2">
      <c r="A7" s="13"/>
      <c r="B7" s="14"/>
      <c r="C7" s="15"/>
      <c r="K7" s="59"/>
    </row>
    <row r="8" spans="1:14" ht="48" x14ac:dyDescent="0.2">
      <c r="A8" s="16"/>
      <c r="B8" s="17"/>
      <c r="C8" s="180" t="s">
        <v>40</v>
      </c>
      <c r="D8" s="181"/>
      <c r="E8" s="182"/>
      <c r="F8" s="183" t="s">
        <v>41</v>
      </c>
      <c r="G8" s="184"/>
      <c r="H8" s="18" t="s">
        <v>42</v>
      </c>
      <c r="I8" s="185" t="s">
        <v>43</v>
      </c>
      <c r="J8" s="186"/>
      <c r="K8" s="187"/>
      <c r="M8" s="2" t="s">
        <v>44</v>
      </c>
    </row>
    <row r="9" spans="1:14" s="1" customFormat="1" x14ac:dyDescent="0.2">
      <c r="A9" s="19"/>
      <c r="B9" s="20"/>
      <c r="C9" s="21" t="s">
        <v>45</v>
      </c>
      <c r="D9" s="21" t="s">
        <v>46</v>
      </c>
      <c r="E9" s="21" t="s">
        <v>11</v>
      </c>
      <c r="F9" s="21" t="s">
        <v>12</v>
      </c>
      <c r="G9" s="21" t="s">
        <v>13</v>
      </c>
      <c r="H9" s="21" t="s">
        <v>14</v>
      </c>
      <c r="I9" s="21" t="s">
        <v>15</v>
      </c>
      <c r="J9" s="21" t="s">
        <v>16</v>
      </c>
      <c r="K9" s="60" t="s">
        <v>47</v>
      </c>
      <c r="M9" s="61"/>
    </row>
    <row r="10" spans="1:14" ht="24" customHeight="1" x14ac:dyDescent="0.2">
      <c r="A10" s="22" t="s">
        <v>48</v>
      </c>
      <c r="B10" s="23"/>
      <c r="C10" s="24">
        <f>+C2*30</f>
        <v>1500000</v>
      </c>
      <c r="D10" s="25">
        <f>+C10</f>
        <v>1500000</v>
      </c>
      <c r="E10" s="25">
        <f t="shared" ref="E10:H10" si="0">+D10</f>
        <v>1500000</v>
      </c>
      <c r="F10" s="25">
        <f t="shared" si="0"/>
        <v>1500000</v>
      </c>
      <c r="G10" s="25">
        <f t="shared" si="0"/>
        <v>1500000</v>
      </c>
      <c r="H10" s="25">
        <f t="shared" si="0"/>
        <v>1500000</v>
      </c>
      <c r="I10" s="25">
        <v>0</v>
      </c>
      <c r="J10" s="25">
        <v>0</v>
      </c>
      <c r="K10" s="62">
        <v>0</v>
      </c>
      <c r="M10" s="27">
        <f>SUM(C10:H10)*1.22</f>
        <v>10980000</v>
      </c>
    </row>
    <row r="11" spans="1:14" ht="13.25" customHeight="1" x14ac:dyDescent="0.2">
      <c r="A11" s="26"/>
      <c r="C11" s="27"/>
      <c r="D11" s="27"/>
      <c r="E11" s="27"/>
      <c r="F11" s="27"/>
      <c r="G11" s="27"/>
      <c r="H11" s="27"/>
      <c r="I11" s="27"/>
      <c r="J11" s="27"/>
      <c r="K11" s="63"/>
      <c r="M11" s="2"/>
    </row>
    <row r="12" spans="1:14" ht="16" x14ac:dyDescent="0.2">
      <c r="A12" s="29" t="s">
        <v>49</v>
      </c>
      <c r="C12" s="28">
        <v>1</v>
      </c>
      <c r="D12" s="28">
        <v>0.5</v>
      </c>
      <c r="E12" s="28">
        <v>0.5</v>
      </c>
      <c r="F12" s="28">
        <v>0</v>
      </c>
      <c r="G12" s="28">
        <v>0</v>
      </c>
      <c r="H12" s="28">
        <v>0</v>
      </c>
      <c r="I12" s="28">
        <v>0</v>
      </c>
      <c r="J12" s="28">
        <v>0</v>
      </c>
      <c r="K12" s="64">
        <v>0</v>
      </c>
      <c r="M12" s="2"/>
    </row>
    <row r="13" spans="1:14" ht="19.25" customHeight="1" x14ac:dyDescent="0.2">
      <c r="A13" s="29" t="s">
        <v>50</v>
      </c>
      <c r="C13" s="2">
        <v>0</v>
      </c>
      <c r="D13" s="2">
        <v>0</v>
      </c>
      <c r="E13" s="27">
        <f>+C10*(1+$C$5)</f>
        <v>1830000</v>
      </c>
      <c r="F13" s="27">
        <f>+D10*(1+$C$5)*D12</f>
        <v>915000</v>
      </c>
      <c r="G13" s="27">
        <f>+E10*(1+$C$5)*E12</f>
        <v>915000</v>
      </c>
      <c r="H13" s="27">
        <v>0</v>
      </c>
      <c r="I13" s="27">
        <v>0</v>
      </c>
      <c r="J13" s="27">
        <v>0</v>
      </c>
      <c r="K13" s="63">
        <v>0</v>
      </c>
      <c r="M13" s="27">
        <f>SUM(C13:H13)</f>
        <v>3660000</v>
      </c>
    </row>
    <row r="14" spans="1:14" x14ac:dyDescent="0.2">
      <c r="A14" s="30" t="s">
        <v>51</v>
      </c>
      <c r="E14" s="2">
        <v>1</v>
      </c>
      <c r="F14" s="2">
        <v>2</v>
      </c>
      <c r="G14" s="2">
        <v>3</v>
      </c>
      <c r="H14" s="2">
        <v>4</v>
      </c>
      <c r="I14" s="2">
        <v>5</v>
      </c>
      <c r="J14" s="2">
        <v>6</v>
      </c>
      <c r="K14" s="59">
        <v>7</v>
      </c>
      <c r="M14" s="2"/>
    </row>
    <row r="15" spans="1:14" ht="24.5" customHeight="1" x14ac:dyDescent="0.2">
      <c r="A15" s="31" t="s">
        <v>52</v>
      </c>
      <c r="B15" s="23"/>
      <c r="C15" s="24">
        <f>+C10*1.22</f>
        <v>1830000</v>
      </c>
      <c r="D15" s="25">
        <f>+D10*1.22+C15</f>
        <v>3660000</v>
      </c>
      <c r="E15" s="25">
        <f>+D15-E13+E10*1.22</f>
        <v>3660000</v>
      </c>
      <c r="F15" s="25">
        <f>+F10*1.22+E15-F13</f>
        <v>4575000</v>
      </c>
      <c r="G15" s="25">
        <f>+G10*1.22+F15-G13</f>
        <v>5490000</v>
      </c>
      <c r="H15" s="25">
        <f>+H10*1.22+G15</f>
        <v>7320000</v>
      </c>
      <c r="I15" s="25">
        <f>+I10*1.22+H15</f>
        <v>7320000</v>
      </c>
      <c r="J15" s="25">
        <f>+J10*1.22+I15</f>
        <v>7320000</v>
      </c>
      <c r="K15" s="65">
        <f>+K10*1.22+J15</f>
        <v>7320000</v>
      </c>
      <c r="M15" s="27">
        <f>+M10-M13</f>
        <v>7320000</v>
      </c>
      <c r="N15" t="s">
        <v>53</v>
      </c>
    </row>
    <row r="16" spans="1:14" x14ac:dyDescent="0.2">
      <c r="A16" s="26"/>
      <c r="K16" s="59"/>
    </row>
    <row r="17" spans="1:13" s="1" customFormat="1" x14ac:dyDescent="0.2">
      <c r="A17" s="32" t="s">
        <v>54</v>
      </c>
      <c r="B17" s="33"/>
      <c r="C17" s="34">
        <f t="shared" ref="C17:I17" si="1">+C15-C18</f>
        <v>1830000</v>
      </c>
      <c r="D17" s="35">
        <f t="shared" si="1"/>
        <v>3660000</v>
      </c>
      <c r="E17" s="35">
        <f t="shared" si="1"/>
        <v>3660000</v>
      </c>
      <c r="F17" s="35">
        <f t="shared" si="1"/>
        <v>3660000</v>
      </c>
      <c r="G17" s="35">
        <f t="shared" si="1"/>
        <v>3660000</v>
      </c>
      <c r="H17" s="35">
        <f t="shared" si="1"/>
        <v>3660000</v>
      </c>
      <c r="I17" s="35">
        <f t="shared" si="1"/>
        <v>1830000</v>
      </c>
      <c r="J17" s="35">
        <f t="shared" ref="J17:K17" si="2">+J15-J18</f>
        <v>0</v>
      </c>
      <c r="K17" s="66">
        <f t="shared" si="2"/>
        <v>0</v>
      </c>
    </row>
    <row r="18" spans="1:13" s="1" customFormat="1" x14ac:dyDescent="0.2">
      <c r="A18" s="32" t="s">
        <v>55</v>
      </c>
      <c r="B18" s="33"/>
      <c r="C18" s="34">
        <f>+C10*1.22-C15</f>
        <v>0</v>
      </c>
      <c r="D18" s="35">
        <f>+D10*1.22+C10*1.22-D15</f>
        <v>0</v>
      </c>
      <c r="E18" s="35">
        <f>+E10*1.22+D10*1.22-E15</f>
        <v>0</v>
      </c>
      <c r="F18" s="35">
        <f>+D10*D12*(1+$C$5)</f>
        <v>915000</v>
      </c>
      <c r="G18" s="35">
        <f>+F18+E10*E12*(1+$C$5)</f>
        <v>1830000</v>
      </c>
      <c r="H18" s="35">
        <f>+G18+F10*(1+$C$5)</f>
        <v>3660000</v>
      </c>
      <c r="I18" s="35">
        <f>+H18+G10*(1+$C$5)</f>
        <v>5490000</v>
      </c>
      <c r="J18" s="35">
        <f t="shared" ref="J18:K18" si="3">+I18+H10*(1+$C$5)</f>
        <v>7320000</v>
      </c>
      <c r="K18" s="66">
        <f t="shared" si="3"/>
        <v>7320000</v>
      </c>
    </row>
    <row r="19" spans="1:13" ht="9" customHeight="1" x14ac:dyDescent="0.2">
      <c r="A19" s="26"/>
      <c r="K19" s="59"/>
    </row>
    <row r="20" spans="1:13" ht="50" x14ac:dyDescent="0.3">
      <c r="A20" s="36" t="s">
        <v>56</v>
      </c>
      <c r="B20" s="37"/>
      <c r="C20" s="38">
        <f>+C15/(C10*1.22)*30</f>
        <v>30</v>
      </c>
      <c r="D20" s="39">
        <f>+D15/(D10*1.22)*30</f>
        <v>60</v>
      </c>
      <c r="E20" s="39">
        <f t="shared" ref="E20:H20" si="4">+E15/(E10*1.22)*30</f>
        <v>60</v>
      </c>
      <c r="F20" s="41">
        <f t="shared" si="4"/>
        <v>75</v>
      </c>
      <c r="G20" s="39">
        <f t="shared" si="4"/>
        <v>90</v>
      </c>
      <c r="H20" s="39">
        <f t="shared" si="4"/>
        <v>120</v>
      </c>
      <c r="I20" s="39">
        <f>+H20</f>
        <v>120</v>
      </c>
      <c r="J20" s="39">
        <f t="shared" ref="J20:K20" si="5">+I20</f>
        <v>120</v>
      </c>
      <c r="K20" s="67">
        <f t="shared" si="5"/>
        <v>120</v>
      </c>
      <c r="M20" s="68" t="s">
        <v>57</v>
      </c>
    </row>
    <row r="21" spans="1:13" x14ac:dyDescent="0.2">
      <c r="A21" s="26"/>
      <c r="K21" s="69"/>
    </row>
    <row r="22" spans="1:13" x14ac:dyDescent="0.2">
      <c r="A22" s="42" t="s">
        <v>58</v>
      </c>
      <c r="B22" s="43">
        <v>0</v>
      </c>
      <c r="C22" s="44">
        <f>+C10*(1+$C$5)</f>
        <v>1830000</v>
      </c>
      <c r="D22" s="44">
        <f>+(D10+C10)*(1+$C$5)</f>
        <v>3660000</v>
      </c>
      <c r="E22" s="44">
        <f>+E10*(1+$C$5)+D10*(1+$C$5)</f>
        <v>3660000</v>
      </c>
      <c r="F22" s="44">
        <f>+(F10+E10)*(1+$C$5)</f>
        <v>3660000</v>
      </c>
      <c r="G22" s="44">
        <f>+G10*(1+$C$5)+F10*(1+C5)</f>
        <v>3660000</v>
      </c>
      <c r="H22" s="44">
        <f>+(H10+G10)*(1+C5)</f>
        <v>3660000</v>
      </c>
      <c r="I22" s="44">
        <f>+(I10+H10)*(1+C5)</f>
        <v>1830000</v>
      </c>
      <c r="J22" s="44">
        <f>+(J10+I10)*(1+E5)</f>
        <v>0</v>
      </c>
      <c r="K22" s="70">
        <f t="shared" ref="K22" si="6">+(K10+J10)*(1+F5)</f>
        <v>0</v>
      </c>
    </row>
    <row r="23" spans="1:13" x14ac:dyDescent="0.2">
      <c r="A23" s="26" t="s">
        <v>58</v>
      </c>
      <c r="B23" s="45">
        <v>30</v>
      </c>
      <c r="C23" s="27">
        <v>0</v>
      </c>
      <c r="D23" s="27">
        <v>0</v>
      </c>
      <c r="E23" s="27">
        <v>0</v>
      </c>
      <c r="F23" s="27">
        <f>+D10*D12*(1+C5)</f>
        <v>915000</v>
      </c>
      <c r="G23" s="27">
        <f>+E10*(1+C5)*E12</f>
        <v>915000</v>
      </c>
      <c r="H23" s="27">
        <f>+F10*(1-F12)*(1+C5)</f>
        <v>1830000</v>
      </c>
      <c r="I23" s="27">
        <f>+G10*(1-G12)*(1+C5)</f>
        <v>1830000</v>
      </c>
      <c r="J23" s="27">
        <f>+H10*(1-H12)*(1+C5)</f>
        <v>1830000</v>
      </c>
      <c r="K23" s="63">
        <f t="shared" ref="K23" si="7">+I10*(1-I12)*(1+F5)</f>
        <v>0</v>
      </c>
    </row>
    <row r="24" spans="1:13" x14ac:dyDescent="0.2">
      <c r="A24" s="26" t="s">
        <v>58</v>
      </c>
      <c r="B24" s="45">
        <v>60</v>
      </c>
      <c r="C24" s="27">
        <v>0</v>
      </c>
      <c r="D24" s="27">
        <v>0</v>
      </c>
      <c r="E24" s="27">
        <v>0</v>
      </c>
      <c r="F24" s="27">
        <v>0</v>
      </c>
      <c r="G24" s="27">
        <f>+D10*(1+$C$5)*D12</f>
        <v>915000</v>
      </c>
      <c r="H24" s="27">
        <f>E10*E12*(1+C5)</f>
        <v>915000</v>
      </c>
      <c r="I24" s="27">
        <f>F10*(1-F12)*(1+C5)</f>
        <v>1830000</v>
      </c>
      <c r="J24" s="27">
        <f>G10*(1-G12)*(1+C5)</f>
        <v>1830000</v>
      </c>
      <c r="K24" s="63">
        <f>H10*(1-H12)*(1+C5)</f>
        <v>1830000</v>
      </c>
    </row>
    <row r="25" spans="1:13" x14ac:dyDescent="0.2">
      <c r="A25" s="46" t="s">
        <v>58</v>
      </c>
      <c r="B25" s="47">
        <v>90</v>
      </c>
      <c r="C25" s="48">
        <v>0</v>
      </c>
      <c r="D25" s="48">
        <v>0</v>
      </c>
      <c r="E25" s="48">
        <v>0</v>
      </c>
      <c r="F25" s="48">
        <v>0</v>
      </c>
      <c r="G25" s="48">
        <v>0</v>
      </c>
      <c r="H25" s="48">
        <f>+D10*D12*(1+C5)</f>
        <v>915000</v>
      </c>
      <c r="I25" s="48">
        <f>+E10*E12*(1+C5)</f>
        <v>915000</v>
      </c>
      <c r="J25" s="48">
        <f>+F10*(1-F12)*(1+C5)</f>
        <v>1830000</v>
      </c>
      <c r="K25" s="71">
        <f>+G10*(1-G12)*(1+C5)</f>
        <v>1830000</v>
      </c>
    </row>
    <row r="26" spans="1:13" x14ac:dyDescent="0.2">
      <c r="A26" s="49" t="s">
        <v>58</v>
      </c>
      <c r="B26" s="50">
        <v>120</v>
      </c>
      <c r="C26" s="51">
        <v>0</v>
      </c>
      <c r="D26" s="51">
        <v>0</v>
      </c>
      <c r="E26" s="51">
        <v>0</v>
      </c>
      <c r="F26" s="51">
        <v>0</v>
      </c>
      <c r="G26" s="51">
        <v>0</v>
      </c>
      <c r="H26" s="51">
        <v>0</v>
      </c>
      <c r="I26" s="51">
        <f>+D10*D12*(1+C5)</f>
        <v>915000</v>
      </c>
      <c r="J26" s="51">
        <f>(D10+E10)*E12*(1+C5)</f>
        <v>1830000</v>
      </c>
      <c r="K26" s="72">
        <f>(D10+E10)*E12*(1+C5)+F10*(1-F12)*(1+C5)</f>
        <v>3660000</v>
      </c>
    </row>
    <row r="27" spans="1:13" x14ac:dyDescent="0.2">
      <c r="A27" s="52" t="s">
        <v>59</v>
      </c>
      <c r="C27" s="48" t="str">
        <f>IF(SUM(C22:C26)-C15=0,"OK","NOK")</f>
        <v>OK</v>
      </c>
      <c r="D27" s="48" t="str">
        <f t="shared" ref="D27:K27" si="8">IF(SUM(D22:D26)-D15=0,"OK","NOK")</f>
        <v>OK</v>
      </c>
      <c r="E27" s="48" t="str">
        <f t="shared" si="8"/>
        <v>OK</v>
      </c>
      <c r="F27" s="48" t="str">
        <f t="shared" si="8"/>
        <v>OK</v>
      </c>
      <c r="G27" s="48" t="str">
        <f t="shared" si="8"/>
        <v>OK</v>
      </c>
      <c r="H27" s="48" t="str">
        <f t="shared" si="8"/>
        <v>OK</v>
      </c>
      <c r="I27" s="48" t="str">
        <f t="shared" si="8"/>
        <v>OK</v>
      </c>
      <c r="J27" s="48" t="str">
        <f t="shared" si="8"/>
        <v>OK</v>
      </c>
      <c r="K27" s="71" t="str">
        <f t="shared" si="8"/>
        <v>OK</v>
      </c>
    </row>
    <row r="28" spans="1:13" ht="9.5" customHeight="1" x14ac:dyDescent="0.2">
      <c r="A28" s="26"/>
      <c r="K28" s="59"/>
    </row>
    <row r="29" spans="1:13" ht="16" x14ac:dyDescent="0.2">
      <c r="A29" s="53" t="s">
        <v>26</v>
      </c>
      <c r="B29" s="54"/>
      <c r="C29" s="55" t="str">
        <f>IF((C26+C25)&gt;C22,"ALLERTA","OK")</f>
        <v>OK</v>
      </c>
      <c r="D29" s="55" t="str">
        <f t="shared" ref="D29:K29" si="9">IF((D26+D25)&gt;D22,"ALLERTA","OK")</f>
        <v>OK</v>
      </c>
      <c r="E29" s="55" t="str">
        <f t="shared" si="9"/>
        <v>OK</v>
      </c>
      <c r="F29" s="55" t="str">
        <f t="shared" si="9"/>
        <v>OK</v>
      </c>
      <c r="G29" s="55" t="str">
        <f t="shared" si="9"/>
        <v>OK</v>
      </c>
      <c r="H29" s="55" t="str">
        <f t="shared" si="9"/>
        <v>OK</v>
      </c>
      <c r="I29" s="55" t="str">
        <f t="shared" si="9"/>
        <v>OK</v>
      </c>
      <c r="J29" s="55" t="str">
        <f t="shared" si="9"/>
        <v>ALLERTA</v>
      </c>
      <c r="K29" s="73" t="str">
        <f t="shared" si="9"/>
        <v>ALLERTA</v>
      </c>
    </row>
    <row r="30" spans="1:13" ht="16" thickTop="1" x14ac:dyDescent="0.2"/>
    <row r="31" spans="1:13" ht="33" thickBot="1" x14ac:dyDescent="0.25">
      <c r="A31" s="56" t="s">
        <v>63</v>
      </c>
      <c r="B31" s="164"/>
      <c r="C31" s="165">
        <f>+C15/C10</f>
        <v>1.22</v>
      </c>
      <c r="D31" s="165">
        <f t="shared" ref="D31:K31" si="10">+D15/D10</f>
        <v>2.44</v>
      </c>
      <c r="E31" s="165">
        <f t="shared" si="10"/>
        <v>2.44</v>
      </c>
      <c r="F31" s="165">
        <f t="shared" si="10"/>
        <v>3.05</v>
      </c>
      <c r="G31" s="165">
        <f t="shared" si="10"/>
        <v>3.66</v>
      </c>
      <c r="H31" s="165">
        <f t="shared" si="10"/>
        <v>4.88</v>
      </c>
      <c r="I31" s="165" t="e">
        <f t="shared" si="10"/>
        <v>#DIV/0!</v>
      </c>
      <c r="J31" s="165" t="e">
        <f t="shared" si="10"/>
        <v>#DIV/0!</v>
      </c>
      <c r="K31" s="165" t="e">
        <f t="shared" si="10"/>
        <v>#DIV/0!</v>
      </c>
    </row>
    <row r="32" spans="1:13" ht="16" thickTop="1" x14ac:dyDescent="0.2">
      <c r="C32" s="74"/>
      <c r="D32" s="74"/>
      <c r="E32" s="74"/>
      <c r="F32" s="74"/>
      <c r="G32" s="74"/>
      <c r="H32" s="74"/>
      <c r="I32" s="74"/>
      <c r="J32" s="74"/>
      <c r="K32" s="74"/>
    </row>
  </sheetData>
  <mergeCells count="3">
    <mergeCell ref="C8:E8"/>
    <mergeCell ref="F8:G8"/>
    <mergeCell ref="I8:K8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N33"/>
  <sheetViews>
    <sheetView zoomScale="90" zoomScaleNormal="90" workbookViewId="0">
      <selection activeCell="C1" sqref="C1"/>
    </sheetView>
  </sheetViews>
  <sheetFormatPr baseColWidth="10" defaultColWidth="9" defaultRowHeight="15" x14ac:dyDescent="0.2"/>
  <cols>
    <col min="1" max="1" width="38.33203125" customWidth="1"/>
    <col min="3" max="3" width="12.5" style="2" customWidth="1"/>
    <col min="4" max="4" width="12.1640625" style="2" customWidth="1"/>
    <col min="5" max="11" width="12.5" style="2" customWidth="1"/>
    <col min="13" max="13" width="29.33203125" bestFit="1" customWidth="1"/>
  </cols>
  <sheetData>
    <row r="1" spans="1:14" ht="26" x14ac:dyDescent="0.3">
      <c r="C1" s="171" t="s">
        <v>64</v>
      </c>
      <c r="E1" s="3" t="s">
        <v>33</v>
      </c>
    </row>
    <row r="2" spans="1:14" x14ac:dyDescent="0.2">
      <c r="A2" s="4" t="s">
        <v>34</v>
      </c>
      <c r="B2" s="5"/>
      <c r="C2" s="6">
        <v>50000</v>
      </c>
      <c r="D2" s="7"/>
      <c r="E2" s="7"/>
      <c r="F2" s="7"/>
      <c r="G2" s="7"/>
      <c r="H2" s="7"/>
      <c r="I2" s="7"/>
      <c r="J2" s="7"/>
      <c r="K2" s="58"/>
    </row>
    <row r="3" spans="1:14" x14ac:dyDescent="0.2">
      <c r="A3" s="8" t="s">
        <v>35</v>
      </c>
      <c r="B3" s="9"/>
      <c r="C3" s="10" t="s">
        <v>60</v>
      </c>
      <c r="K3" s="59"/>
    </row>
    <row r="4" spans="1:14" x14ac:dyDescent="0.2">
      <c r="A4" s="8" t="s">
        <v>37</v>
      </c>
      <c r="B4" s="9"/>
      <c r="C4" s="11">
        <v>60</v>
      </c>
      <c r="K4" s="59"/>
    </row>
    <row r="5" spans="1:14" x14ac:dyDescent="0.2">
      <c r="A5" s="8" t="s">
        <v>38</v>
      </c>
      <c r="B5" s="9"/>
      <c r="C5" s="12">
        <v>0.22</v>
      </c>
      <c r="K5" s="59"/>
    </row>
    <row r="6" spans="1:14" x14ac:dyDescent="0.2">
      <c r="A6" s="8" t="s">
        <v>39</v>
      </c>
      <c r="B6" s="9"/>
      <c r="C6" s="12" t="s">
        <v>12</v>
      </c>
      <c r="K6" s="59"/>
    </row>
    <row r="7" spans="1:14" x14ac:dyDescent="0.2">
      <c r="A7" s="13"/>
      <c r="B7" s="14"/>
      <c r="C7" s="15"/>
      <c r="K7" s="59"/>
    </row>
    <row r="8" spans="1:14" ht="48" x14ac:dyDescent="0.2">
      <c r="A8" s="16"/>
      <c r="B8" s="17"/>
      <c r="C8" s="180" t="s">
        <v>40</v>
      </c>
      <c r="D8" s="181"/>
      <c r="E8" s="182"/>
      <c r="F8" s="183" t="s">
        <v>41</v>
      </c>
      <c r="G8" s="184"/>
      <c r="H8" s="18" t="s">
        <v>42</v>
      </c>
      <c r="I8" s="185" t="s">
        <v>43</v>
      </c>
      <c r="J8" s="186"/>
      <c r="K8" s="187"/>
      <c r="M8" s="2" t="s">
        <v>44</v>
      </c>
    </row>
    <row r="9" spans="1:14" s="1" customFormat="1" x14ac:dyDescent="0.2">
      <c r="A9" s="19"/>
      <c r="B9" s="20"/>
      <c r="C9" s="21" t="s">
        <v>45</v>
      </c>
      <c r="D9" s="21" t="s">
        <v>46</v>
      </c>
      <c r="E9" s="21" t="s">
        <v>11</v>
      </c>
      <c r="F9" s="21" t="s">
        <v>12</v>
      </c>
      <c r="G9" s="21" t="s">
        <v>13</v>
      </c>
      <c r="H9" s="21" t="s">
        <v>14</v>
      </c>
      <c r="I9" s="21" t="s">
        <v>15</v>
      </c>
      <c r="J9" s="21" t="s">
        <v>16</v>
      </c>
      <c r="K9" s="60" t="s">
        <v>47</v>
      </c>
      <c r="M9" s="61"/>
    </row>
    <row r="10" spans="1:14" ht="24" customHeight="1" x14ac:dyDescent="0.2">
      <c r="A10" s="22" t="s">
        <v>48</v>
      </c>
      <c r="B10" s="23"/>
      <c r="C10" s="24">
        <f>+C2*30</f>
        <v>1500000</v>
      </c>
      <c r="D10" s="25">
        <f>+C10</f>
        <v>1500000</v>
      </c>
      <c r="E10" s="25">
        <f t="shared" ref="E10:H10" si="0">+D10</f>
        <v>1500000</v>
      </c>
      <c r="F10" s="25">
        <f t="shared" si="0"/>
        <v>1500000</v>
      </c>
      <c r="G10" s="25">
        <f t="shared" si="0"/>
        <v>1500000</v>
      </c>
      <c r="H10" s="25">
        <f t="shared" si="0"/>
        <v>1500000</v>
      </c>
      <c r="I10" s="25">
        <v>0</v>
      </c>
      <c r="J10" s="25">
        <v>0</v>
      </c>
      <c r="K10" s="62">
        <v>0</v>
      </c>
      <c r="M10" s="27">
        <f>SUM(C10:H10)*1.22</f>
        <v>10980000</v>
      </c>
    </row>
    <row r="11" spans="1:14" ht="13.25" customHeight="1" x14ac:dyDescent="0.2">
      <c r="A11" s="26"/>
      <c r="C11" s="27"/>
      <c r="D11" s="28"/>
      <c r="E11" s="27"/>
      <c r="F11" s="27"/>
      <c r="G11" s="27"/>
      <c r="H11" s="27"/>
      <c r="I11" s="27"/>
      <c r="J11" s="27"/>
      <c r="K11" s="63"/>
      <c r="M11" s="2"/>
    </row>
    <row r="12" spans="1:14" ht="16" x14ac:dyDescent="0.2">
      <c r="A12" s="29" t="s">
        <v>49</v>
      </c>
      <c r="C12" s="28">
        <v>1</v>
      </c>
      <c r="D12" s="28">
        <v>1</v>
      </c>
      <c r="E12" s="28">
        <v>0.5</v>
      </c>
      <c r="F12" s="28">
        <v>0.5</v>
      </c>
      <c r="G12" s="28">
        <v>0</v>
      </c>
      <c r="H12" s="28">
        <v>0</v>
      </c>
      <c r="I12" s="28">
        <v>0</v>
      </c>
      <c r="J12" s="28">
        <v>0</v>
      </c>
      <c r="K12" s="64">
        <v>0</v>
      </c>
      <c r="M12" s="2"/>
    </row>
    <row r="13" spans="1:14" ht="19.25" customHeight="1" x14ac:dyDescent="0.2">
      <c r="A13" s="29" t="s">
        <v>50</v>
      </c>
      <c r="C13" s="2">
        <v>0</v>
      </c>
      <c r="D13" s="27">
        <f>+C10*1.22</f>
        <v>1830000</v>
      </c>
      <c r="E13" s="27">
        <f>+D10*1.22</f>
        <v>1830000</v>
      </c>
      <c r="F13" s="27">
        <f>+E10*1.22*E12</f>
        <v>915000</v>
      </c>
      <c r="G13" s="27">
        <f>+F10*(1+$C$5)*F12</f>
        <v>915000</v>
      </c>
      <c r="H13" s="27">
        <f>+G10*(1+$C$5)*G12</f>
        <v>0</v>
      </c>
      <c r="I13" s="27">
        <f t="shared" ref="I13:K13" si="1">+G10*(1+$C$5)*G12</f>
        <v>0</v>
      </c>
      <c r="J13" s="27">
        <f t="shared" si="1"/>
        <v>0</v>
      </c>
      <c r="K13" s="63">
        <f t="shared" si="1"/>
        <v>0</v>
      </c>
      <c r="M13" s="27">
        <f>SUM(C13:H13)</f>
        <v>5490000</v>
      </c>
    </row>
    <row r="14" spans="1:14" x14ac:dyDescent="0.2">
      <c r="A14" s="30" t="s">
        <v>51</v>
      </c>
      <c r="D14" s="2">
        <v>1</v>
      </c>
      <c r="E14" s="2">
        <v>2</v>
      </c>
      <c r="F14" s="2">
        <v>3</v>
      </c>
      <c r="G14" s="2">
        <v>4</v>
      </c>
      <c r="H14" s="2">
        <v>5</v>
      </c>
      <c r="I14" s="2">
        <v>6</v>
      </c>
      <c r="J14" s="2">
        <v>7</v>
      </c>
      <c r="K14" s="59">
        <v>8</v>
      </c>
      <c r="M14" s="2"/>
    </row>
    <row r="15" spans="1:14" ht="30.5" customHeight="1" x14ac:dyDescent="0.2">
      <c r="A15" s="31" t="s">
        <v>52</v>
      </c>
      <c r="B15" s="23"/>
      <c r="C15" s="24">
        <f>+C10*1.22</f>
        <v>1830000</v>
      </c>
      <c r="D15" s="25">
        <f>+D10*1.22</f>
        <v>1830000</v>
      </c>
      <c r="E15" s="25">
        <f>+E10*1.22</f>
        <v>1830000</v>
      </c>
      <c r="F15" s="25">
        <f>+F10*1.22+E10*E12*1.22</f>
        <v>2745000</v>
      </c>
      <c r="G15" s="25">
        <f>+E10*E12*1.22+F10*F12*1.22+G10*1.22</f>
        <v>3660000</v>
      </c>
      <c r="H15" s="25">
        <f>+G15+H10*1.22</f>
        <v>5490000</v>
      </c>
      <c r="I15" s="25">
        <f>+I10*1.22+H15</f>
        <v>5490000</v>
      </c>
      <c r="J15" s="25">
        <f>+J10*1.22+I15</f>
        <v>5490000</v>
      </c>
      <c r="K15" s="65">
        <f>+K10*1.22+J15</f>
        <v>5490000</v>
      </c>
      <c r="M15" s="27">
        <f>+M10-M13</f>
        <v>5490000</v>
      </c>
      <c r="N15" t="s">
        <v>53</v>
      </c>
    </row>
    <row r="16" spans="1:14" x14ac:dyDescent="0.2">
      <c r="A16" s="26"/>
      <c r="D16" s="28"/>
      <c r="E16" s="28"/>
      <c r="F16" s="28"/>
      <c r="G16" s="28"/>
      <c r="H16" s="28"/>
      <c r="I16" s="28"/>
      <c r="J16" s="28"/>
      <c r="K16" s="59"/>
    </row>
    <row r="17" spans="1:13" s="1" customFormat="1" x14ac:dyDescent="0.2">
      <c r="A17" s="32" t="s">
        <v>54</v>
      </c>
      <c r="B17" s="33"/>
      <c r="C17" s="34">
        <f>+C15-C18</f>
        <v>1830000</v>
      </c>
      <c r="D17" s="35">
        <f t="shared" ref="D17:I17" si="2">+D15-D18</f>
        <v>1830000</v>
      </c>
      <c r="E17" s="35">
        <f t="shared" si="2"/>
        <v>1830000</v>
      </c>
      <c r="F17" s="35">
        <f t="shared" si="2"/>
        <v>1830000</v>
      </c>
      <c r="G17" s="35">
        <f t="shared" si="2"/>
        <v>1830000</v>
      </c>
      <c r="H17" s="35">
        <f t="shared" si="2"/>
        <v>1830000</v>
      </c>
      <c r="I17" s="35">
        <f t="shared" si="2"/>
        <v>0</v>
      </c>
      <c r="J17" s="35">
        <f t="shared" ref="J17:K17" si="3">+J15-J18</f>
        <v>0</v>
      </c>
      <c r="K17" s="66">
        <f t="shared" si="3"/>
        <v>0</v>
      </c>
    </row>
    <row r="18" spans="1:13" s="1" customFormat="1" x14ac:dyDescent="0.2">
      <c r="A18" s="32" t="s">
        <v>55</v>
      </c>
      <c r="B18" s="33"/>
      <c r="C18" s="34">
        <f>+C10*1.22-C15</f>
        <v>0</v>
      </c>
      <c r="D18" s="35">
        <v>0</v>
      </c>
      <c r="E18" s="35">
        <v>0</v>
      </c>
      <c r="F18" s="35">
        <f>E10*E12*1.22</f>
        <v>915000</v>
      </c>
      <c r="G18" s="35">
        <f>+E10*E12*1.22+F10*F12*1.22</f>
        <v>1830000</v>
      </c>
      <c r="H18" s="35">
        <f>+E10*E12*1.22+F10*F12*1.22+G10*(1-G12)*1.22</f>
        <v>3660000</v>
      </c>
      <c r="I18" s="35">
        <f>+(E10*E12+F10*F12+G10*(1-G12)+H10*(1-H12))*1.22</f>
        <v>5490000</v>
      </c>
      <c r="J18" s="35">
        <f>+I18</f>
        <v>5490000</v>
      </c>
      <c r="K18" s="66">
        <f>+J18</f>
        <v>5490000</v>
      </c>
    </row>
    <row r="19" spans="1:13" ht="9" customHeight="1" x14ac:dyDescent="0.2">
      <c r="A19" s="26"/>
      <c r="K19" s="59"/>
    </row>
    <row r="20" spans="1:13" ht="50" x14ac:dyDescent="0.3">
      <c r="A20" s="36" t="s">
        <v>61</v>
      </c>
      <c r="B20" s="37"/>
      <c r="C20" s="38">
        <f>+C15/(C10*1.22)*30</f>
        <v>30</v>
      </c>
      <c r="D20" s="39">
        <f>+D15/(D10*1.22)*30</f>
        <v>30</v>
      </c>
      <c r="E20" s="39">
        <f t="shared" ref="E20:H20" si="4">+E15/(E10*1.22)*30</f>
        <v>30</v>
      </c>
      <c r="F20" s="40">
        <f t="shared" si="4"/>
        <v>45</v>
      </c>
      <c r="G20" s="39">
        <f t="shared" si="4"/>
        <v>60</v>
      </c>
      <c r="H20" s="41">
        <f t="shared" si="4"/>
        <v>90</v>
      </c>
      <c r="I20" s="39">
        <f>+H20</f>
        <v>90</v>
      </c>
      <c r="J20" s="39">
        <f t="shared" ref="J20:K20" si="5">+I20</f>
        <v>90</v>
      </c>
      <c r="K20" s="67">
        <f t="shared" si="5"/>
        <v>90</v>
      </c>
      <c r="M20" s="68" t="s">
        <v>62</v>
      </c>
    </row>
    <row r="21" spans="1:13" x14ac:dyDescent="0.2">
      <c r="A21" s="26"/>
      <c r="K21" s="69"/>
    </row>
    <row r="22" spans="1:13" x14ac:dyDescent="0.2">
      <c r="A22" s="42" t="s">
        <v>58</v>
      </c>
      <c r="B22" s="43">
        <v>0</v>
      </c>
      <c r="C22" s="44">
        <f>+C17</f>
        <v>1830000</v>
      </c>
      <c r="D22" s="44">
        <f t="shared" ref="D22:G22" si="6">+D17</f>
        <v>1830000</v>
      </c>
      <c r="E22" s="44">
        <f t="shared" si="6"/>
        <v>1830000</v>
      </c>
      <c r="F22" s="44">
        <f t="shared" si="6"/>
        <v>1830000</v>
      </c>
      <c r="G22" s="44">
        <f t="shared" si="6"/>
        <v>1830000</v>
      </c>
      <c r="H22" s="44">
        <f t="shared" ref="H22:K22" si="7">+H17</f>
        <v>1830000</v>
      </c>
      <c r="I22" s="44">
        <f t="shared" si="7"/>
        <v>0</v>
      </c>
      <c r="J22" s="44">
        <f t="shared" si="7"/>
        <v>0</v>
      </c>
      <c r="K22" s="70">
        <f t="shared" si="7"/>
        <v>0</v>
      </c>
    </row>
    <row r="23" spans="1:13" x14ac:dyDescent="0.2">
      <c r="A23" s="26" t="s">
        <v>58</v>
      </c>
      <c r="B23" s="45">
        <v>30</v>
      </c>
      <c r="C23" s="27">
        <v>0</v>
      </c>
      <c r="D23" s="27">
        <v>0</v>
      </c>
      <c r="E23" s="27">
        <v>0</v>
      </c>
      <c r="F23" s="27">
        <f>+F18</f>
        <v>915000</v>
      </c>
      <c r="G23" s="27">
        <f>+F10*F12*1.22</f>
        <v>915000</v>
      </c>
      <c r="H23" s="27">
        <f>+G10*1.22*(1-G12)</f>
        <v>1830000</v>
      </c>
      <c r="I23" s="27">
        <f>+G10*(1-G12)*(1+C5)</f>
        <v>1830000</v>
      </c>
      <c r="J23" s="27">
        <v>0</v>
      </c>
      <c r="K23" s="63">
        <f t="shared" ref="K23" si="8">+I10*(1-I12)*(1+F5)</f>
        <v>0</v>
      </c>
    </row>
    <row r="24" spans="1:13" x14ac:dyDescent="0.2">
      <c r="A24" s="26" t="s">
        <v>58</v>
      </c>
      <c r="B24" s="45">
        <v>60</v>
      </c>
      <c r="C24" s="27">
        <v>0</v>
      </c>
      <c r="D24" s="27">
        <v>0</v>
      </c>
      <c r="E24" s="27">
        <v>0</v>
      </c>
      <c r="F24" s="27">
        <v>0</v>
      </c>
      <c r="G24" s="27">
        <f>+F23</f>
        <v>915000</v>
      </c>
      <c r="H24" s="27">
        <f>+G23</f>
        <v>915000</v>
      </c>
      <c r="I24" s="27">
        <f>+H23</f>
        <v>1830000</v>
      </c>
      <c r="J24" s="27">
        <f>+H10*(1-H12)*1.22</f>
        <v>1830000</v>
      </c>
      <c r="K24" s="63">
        <v>0</v>
      </c>
    </row>
    <row r="25" spans="1:13" x14ac:dyDescent="0.2">
      <c r="A25" s="46" t="s">
        <v>58</v>
      </c>
      <c r="B25" s="47">
        <v>90</v>
      </c>
      <c r="C25" s="48">
        <v>0</v>
      </c>
      <c r="D25" s="48">
        <v>0</v>
      </c>
      <c r="E25" s="48">
        <v>0</v>
      </c>
      <c r="F25" s="48">
        <v>0</v>
      </c>
      <c r="G25" s="48">
        <v>0</v>
      </c>
      <c r="H25" s="48">
        <f>+G24</f>
        <v>915000</v>
      </c>
      <c r="I25" s="48">
        <f>+H24</f>
        <v>915000</v>
      </c>
      <c r="J25" s="48">
        <f>+G10*(1-G12)*1.22</f>
        <v>1830000</v>
      </c>
      <c r="K25" s="71">
        <f>+J24</f>
        <v>1830000</v>
      </c>
    </row>
    <row r="26" spans="1:13" x14ac:dyDescent="0.2">
      <c r="A26" s="49" t="s">
        <v>58</v>
      </c>
      <c r="B26" s="50">
        <v>120</v>
      </c>
      <c r="C26" s="51">
        <v>0</v>
      </c>
      <c r="D26" s="51">
        <v>0</v>
      </c>
      <c r="E26" s="51">
        <v>0</v>
      </c>
      <c r="F26" s="51">
        <v>0</v>
      </c>
      <c r="G26" s="51">
        <v>0</v>
      </c>
      <c r="H26" s="51">
        <v>0</v>
      </c>
      <c r="I26" s="51">
        <f>+H25</f>
        <v>915000</v>
      </c>
      <c r="J26" s="51">
        <f>(D10+E10)*E12*(1+C5)</f>
        <v>1830000</v>
      </c>
      <c r="K26" s="72">
        <f>+J26+J25</f>
        <v>3660000</v>
      </c>
    </row>
    <row r="27" spans="1:13" x14ac:dyDescent="0.2">
      <c r="A27" s="52" t="s">
        <v>59</v>
      </c>
      <c r="C27" s="48" t="str">
        <f>IF(SUM(C22:C26)-C15=0,"OK","NOK")</f>
        <v>OK</v>
      </c>
      <c r="D27" s="48" t="str">
        <f t="shared" ref="D27:K27" si="9">IF(SUM(D22:D26)-D15=0,"OK","NOK")</f>
        <v>OK</v>
      </c>
      <c r="E27" s="48" t="str">
        <f t="shared" si="9"/>
        <v>OK</v>
      </c>
      <c r="F27" s="48" t="str">
        <f t="shared" si="9"/>
        <v>OK</v>
      </c>
      <c r="G27" s="48" t="str">
        <f t="shared" si="9"/>
        <v>OK</v>
      </c>
      <c r="H27" s="48" t="str">
        <f t="shared" si="9"/>
        <v>OK</v>
      </c>
      <c r="I27" s="48" t="str">
        <f t="shared" si="9"/>
        <v>OK</v>
      </c>
      <c r="J27" s="48" t="str">
        <f t="shared" si="9"/>
        <v>OK</v>
      </c>
      <c r="K27" s="71" t="str">
        <f t="shared" si="9"/>
        <v>OK</v>
      </c>
    </row>
    <row r="28" spans="1:13" ht="9.5" customHeight="1" x14ac:dyDescent="0.2">
      <c r="A28" s="26"/>
      <c r="K28" s="59"/>
    </row>
    <row r="29" spans="1:13" ht="16" x14ac:dyDescent="0.2">
      <c r="A29" s="166" t="s">
        <v>26</v>
      </c>
      <c r="C29" s="167" t="str">
        <f>IF((C26+C25)&gt;C22,"ALLERTA","OK")</f>
        <v>OK</v>
      </c>
      <c r="D29" s="167" t="str">
        <f t="shared" ref="D29:K29" si="10">IF((D26+D25)&gt;D22,"ALLERTA","OK")</f>
        <v>OK</v>
      </c>
      <c r="E29" s="167" t="str">
        <f t="shared" si="10"/>
        <v>OK</v>
      </c>
      <c r="F29" s="167" t="str">
        <f t="shared" si="10"/>
        <v>OK</v>
      </c>
      <c r="G29" s="167" t="str">
        <f t="shared" si="10"/>
        <v>OK</v>
      </c>
      <c r="H29" s="167" t="str">
        <f t="shared" si="10"/>
        <v>OK</v>
      </c>
      <c r="I29" s="167" t="str">
        <f t="shared" si="10"/>
        <v>ALLERTA</v>
      </c>
      <c r="J29" s="167" t="str">
        <f t="shared" si="10"/>
        <v>ALLERTA</v>
      </c>
      <c r="K29" s="168" t="str">
        <f t="shared" si="10"/>
        <v>ALLERTA</v>
      </c>
    </row>
    <row r="30" spans="1:13" ht="16" thickBot="1" x14ac:dyDescent="0.25">
      <c r="A30" s="169"/>
      <c r="B30" s="169"/>
      <c r="C30" s="170"/>
      <c r="D30" s="170"/>
      <c r="E30" s="170"/>
      <c r="F30" s="170"/>
      <c r="G30" s="170"/>
      <c r="H30" s="170"/>
      <c r="I30" s="170"/>
      <c r="J30" s="170"/>
      <c r="K30" s="170"/>
    </row>
    <row r="31" spans="1:13" ht="34" thickTop="1" thickBot="1" x14ac:dyDescent="0.25">
      <c r="A31" s="56" t="s">
        <v>63</v>
      </c>
      <c r="B31" s="164"/>
      <c r="C31" s="165">
        <f>+C15/C10</f>
        <v>1.22</v>
      </c>
      <c r="D31" s="165">
        <f t="shared" ref="D31:K31" si="11">+D15/D10</f>
        <v>1.22</v>
      </c>
      <c r="E31" s="165">
        <f t="shared" si="11"/>
        <v>1.22</v>
      </c>
      <c r="F31" s="165">
        <f t="shared" si="11"/>
        <v>1.83</v>
      </c>
      <c r="G31" s="165">
        <f t="shared" si="11"/>
        <v>2.44</v>
      </c>
      <c r="H31" s="165">
        <f t="shared" si="11"/>
        <v>3.66</v>
      </c>
      <c r="I31" s="165" t="e">
        <f t="shared" si="11"/>
        <v>#DIV/0!</v>
      </c>
      <c r="J31" s="165" t="e">
        <f t="shared" si="11"/>
        <v>#DIV/0!</v>
      </c>
      <c r="K31" s="165" t="e">
        <f t="shared" si="11"/>
        <v>#DIV/0!</v>
      </c>
    </row>
    <row r="32" spans="1:13" ht="16" thickTop="1" x14ac:dyDescent="0.2">
      <c r="C32" s="27"/>
      <c r="D32" s="27"/>
      <c r="E32" s="27"/>
      <c r="F32" s="27"/>
      <c r="G32" s="27"/>
      <c r="H32" s="27"/>
      <c r="I32" s="27"/>
      <c r="J32" s="27"/>
      <c r="K32" s="27"/>
    </row>
    <row r="33" spans="4:11" x14ac:dyDescent="0.2">
      <c r="D33" s="57"/>
      <c r="E33" s="57"/>
      <c r="F33" s="57"/>
      <c r="G33" s="57"/>
      <c r="H33" s="57"/>
      <c r="I33" s="57"/>
      <c r="J33" s="57"/>
      <c r="K33" s="57"/>
    </row>
  </sheetData>
  <mergeCells count="3">
    <mergeCell ref="C8:E8"/>
    <mergeCell ref="F8:G8"/>
    <mergeCell ref="I8:K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Dipendenti</vt:lpstr>
      <vt:lpstr>Fornitori (Data FT fine Mese)</vt:lpstr>
      <vt:lpstr>Fornitori (Data FT inizio Mese)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Giampiero Cerchi</dc:creator>
  <cp:lastModifiedBy>Microsoft Office User</cp:lastModifiedBy>
  <dcterms:created xsi:type="dcterms:W3CDTF">2025-11-08T09:45:00Z</dcterms:created>
  <dcterms:modified xsi:type="dcterms:W3CDTF">2025-11-17T08:29:18Z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0BF57F02A13D4D808FF917969DBF8D0D_12</vt:lpwstr>
  </property>
  <property fmtid="{D5CDD505-2E9C-101B-9397-08002B2CF9AE}" pid="3" name="KSOProductBuildVer">
    <vt:lpwstr>1033-12.2.0.23131</vt:lpwstr>
  </property>
</Properties>
</file>